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07"/>
  <workbookPr codeName="ThisWorkbook"/>
  <mc:AlternateContent xmlns:mc="http://schemas.openxmlformats.org/markup-compatibility/2006">
    <mc:Choice Requires="x15">
      <x15ac:absPath xmlns:x15ac="http://schemas.microsoft.com/office/spreadsheetml/2010/11/ac" url="C:\Users\mgirvin\Desktop\00ExcelBasics\Files\"/>
    </mc:Choice>
  </mc:AlternateContent>
  <xr:revisionPtr revIDLastSave="0" documentId="13_ncr:1_{6B5C0112-16D7-4996-A2A5-AFDDD6B7A2B0}" xr6:coauthVersionLast="47" xr6:coauthVersionMax="47" xr10:uidLastSave="{00000000-0000-0000-0000-000000000000}"/>
  <bookViews>
    <workbookView xWindow="-108" yWindow="-108" windowWidth="23256" windowHeight="12576" activeTab="1" xr2:uid="{00000000-000D-0000-FFFF-FFFF00000000}"/>
  </bookViews>
  <sheets>
    <sheet name="EB05(C)" sheetId="44" r:id="rId1"/>
    <sheet name="Topics" sheetId="8" r:id="rId2"/>
    <sheet name="IF" sheetId="2" r:id="rId3"/>
    <sheet name="CO" sheetId="3" r:id="rId4"/>
    <sheet name="IS" sheetId="4" r:id="rId5"/>
    <sheet name="A O N" sheetId="7" r:id="rId6"/>
    <sheet name="IFNA IFERROR" sheetId="53" r:id="rId7"/>
    <sheet name="Vid2 AND OR" sheetId="9" r:id="rId8"/>
    <sheet name="LT" sheetId="30" state="hidden" r:id="rId9"/>
    <sheet name="LT(1-5)" sheetId="52" r:id="rId10"/>
    <sheet name="LT(1-5an)" sheetId="32" r:id="rId11"/>
    <sheet name="IF(6-8)" sheetId="29" r:id="rId12"/>
    <sheet name="IF(6-8an)" sheetId="33" r:id="rId13"/>
    <sheet name="IF(9)" sheetId="12" r:id="rId14"/>
    <sheet name="IF(9an)" sheetId="38" r:id="rId15"/>
    <sheet name="IF(10)" sheetId="13" r:id="rId16"/>
    <sheet name="IF(10an)" sheetId="39" r:id="rId17"/>
    <sheet name="IF(11)" sheetId="14" r:id="rId18"/>
    <sheet name="IF(11an)" sheetId="36" r:id="rId19"/>
    <sheet name="IFS(12)" sheetId="15" r:id="rId20"/>
    <sheet name="IFS(12an)" sheetId="41" r:id="rId21"/>
    <sheet name="IFNA and FT(13)" sheetId="16" r:id="rId22"/>
    <sheet name="IFNA and FT(13an)" sheetId="42" r:id="rId23"/>
    <sheet name="IFERROR and Number(14)" sheetId="17" r:id="rId24"/>
    <sheet name="IF and Aggregate(15)" sheetId="18" state="hidden" r:id="rId25"/>
    <sheet name="OR 2 Columns(16)" sheetId="19" state="hidden" r:id="rId26"/>
    <sheet name="SWITCH" sheetId="20" state="hidden" r:id="rId27"/>
    <sheet name="LookupTables" sheetId="21" state="hidden" r:id="rId28"/>
    <sheet name="IFERROR and Number(14an)" sheetId="43" r:id="rId29"/>
    <sheet name="HW==&gt;&gt;" sheetId="22" r:id="rId30"/>
    <sheet name="HW(1-3)" sheetId="23" r:id="rId31"/>
    <sheet name="HW(1-3) (an)" sheetId="24" r:id="rId32"/>
    <sheet name="HW(4)" sheetId="25" r:id="rId33"/>
    <sheet name="HW(4an)" sheetId="26" r:id="rId34"/>
    <sheet name="HW(5)" sheetId="27" r:id="rId35"/>
    <sheet name="HW(5an)" sheetId="28" r:id="rId36"/>
    <sheet name="HW(6)" sheetId="45" r:id="rId37"/>
    <sheet name="HW(6an)" sheetId="46" r:id="rId38"/>
    <sheet name="HW(7)" sheetId="47" r:id="rId39"/>
    <sheet name="HW(7an)" sheetId="50" r:id="rId40"/>
    <sheet name="HW(8)" sheetId="49" r:id="rId41"/>
    <sheet name="HW(8an)" sheetId="51" r:id="rId42"/>
  </sheets>
  <externalReferences>
    <externalReference r:id="rId43"/>
    <externalReference r:id="rId44"/>
    <externalReference r:id="rId45"/>
  </externalReferences>
  <definedNames>
    <definedName name="CallRepCondition">'[1]Ch12(31-34an)'!$G$9</definedName>
    <definedName name="Country">'[2]Ch13(38)'!$B$7:$B$26</definedName>
    <definedName name="CountryAnswer">'[2]Ch13(38an)'!$B$7:$B$26</definedName>
    <definedName name="DateAnswer">'[2]Ch13(35an)'!$B$8:$B$27</definedName>
    <definedName name="_xlnm.Print_Area" localSheetId="7">'Vid2 AND OR'!$A$1:$K$29</definedName>
    <definedName name="Sales" localSheetId="7">'[3]Video 18'!$C$2:$C$10</definedName>
    <definedName name="Sales">'[2]Ch13(35)'!$C$8:$C$27</definedName>
    <definedName name="Sales_Answer">'[2]Ch13(38an)'!$D$7:$D$26</definedName>
    <definedName name="SalesAnswer">'[2]Ch13(35an)'!$C$8:$C$27</definedName>
    <definedName name="SalesRep" localSheetId="7">'[3]Video 18'!$D$2:$D$10</definedName>
    <definedName name="SalesRep">'[2]Ch13(38)'!$C$7:$C$26</definedName>
    <definedName name="SalesRepAnswer">'[2]Ch13(38an)'!$C$7:$C$26</definedName>
    <definedName name="ShowFormulas" localSheetId="5">_xlfn.LAMBDA(_xlpm.Reference,_xlfn.LET(_xlpm.c,_xlpm.Reference,_xlfn.IFNA(ADDRESS(ROW(_xlpm.c),COLUMN(_xlpm.c),4)&amp;": "&amp;_xlfn.FORMULATEXT(_xlpm.c),"")))</definedName>
    <definedName name="ShowFormulas" localSheetId="2">_xlfn.LAMBDA(_xlpm.Reference,_xlfn.LET(_xlpm.c,_xlpm.Reference,_xlfn.IFNA(ADDRESS(ROW(_xlpm.c),COLUMN(_xlpm.c),4)&amp;": "&amp;_xlfn.FORMULATEXT(_xlpm.c),"")))</definedName>
    <definedName name="ShowFormulas" localSheetId="13">_xlfn.LAMBDA(_xlpm.Reference,_xlfn.LET(_xlpm.c,_xlpm.Reference,_xlfn.IFNA(ADDRESS(ROW(_xlpm.c),COLUMN(_xlpm.c),4)&amp;": "&amp;_xlfn.FORMULATEXT(_xlpm.c),"")))</definedName>
    <definedName name="ShowFormulas" localSheetId="14">_xlfn.LAMBDA(_xlpm.Reference,_xlfn.LET(_xlpm.c,_xlpm.Reference,_xlfn.IFNA(ADDRESS(ROW(_xlpm.c),COLUMN(_xlpm.c),4)&amp;": "&amp;_xlfn.FORMULATEXT(_xlpm.c),"")))</definedName>
    <definedName name="ShowFormulas" localSheetId="6">_xlfn.LAMBDA(_xlpm.Reference,_xlfn.LET(_xlpm.c,_xlpm.Reference,_xlfn.IFNA(ADDRESS(ROW(_xlpm.c),COLUMN(_xlpm.c),4)&amp;": "&amp;_xlfn.FORMULATEXT(_xlpm.c),"")))</definedName>
    <definedName name="ShowFormulas" localSheetId="7">_xlfn.LAMBDA(_xlpm.Reference,_xlfn.LET(_xlpm.c,_xlpm.Reference,_xlfn.IFNA(ADDRESS(ROW(_xlpm.c),COLUMN(_xlpm.c),4)&amp;": "&amp;_xlfn.FORMULATEXT(_xlpm.c),"")))</definedName>
    <definedName name="ShowFormulas">_xlfn.LAMBDA(_xlpm.Reference,_xlfn.LET(_xlpm.c,_xlpm.Reference,_xlfn.IFNA(ADDRESS(ROW(_xlpm.c),COLUMN(_xlpm.c),4)&amp;": "&amp;_xlfn.FORMULATEXT(_xlpm.c),"")))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6" l="1" a="1"/>
  <c r="E6" i="16" s="1"/>
  <c r="B10" i="32"/>
  <c r="B10" i="52"/>
  <c r="I6" i="52"/>
  <c r="D17" i="36"/>
  <c r="D18" i="36"/>
  <c r="D19" i="36"/>
  <c r="D20" i="36"/>
  <c r="I13" i="50"/>
  <c r="I12" i="50"/>
  <c r="F14" i="41"/>
  <c r="F12" i="41"/>
  <c r="F11" i="41"/>
  <c r="F14" i="15"/>
  <c r="F12" i="15"/>
  <c r="F11" i="15"/>
  <c r="D22" i="39"/>
  <c r="D21" i="39"/>
  <c r="D15" i="38"/>
  <c r="D14" i="38"/>
  <c r="F36" i="33"/>
  <c r="F26" i="33"/>
  <c r="F25" i="33"/>
  <c r="F12" i="33"/>
  <c r="F11" i="33"/>
  <c r="G65" i="52" a="1"/>
  <c r="G65" i="52" s="1"/>
  <c r="C45" i="52"/>
  <c r="D30" i="52"/>
  <c r="D29" i="52"/>
  <c r="C28" i="52"/>
  <c r="B22" i="52"/>
  <c r="H10" i="52"/>
  <c r="C6" i="52"/>
  <c r="I5" i="52"/>
  <c r="E65" i="32"/>
  <c r="E66" i="32"/>
  <c r="E64" i="32"/>
  <c r="D48" i="32"/>
  <c r="F36" i="32"/>
  <c r="D19" i="32"/>
  <c r="D10" i="32"/>
  <c r="H10" i="32"/>
  <c r="H10" i="36" a="1"/>
  <c r="H10" i="36" s="1"/>
  <c r="G11" i="36"/>
  <c r="G12" i="36"/>
  <c r="G13" i="36"/>
  <c r="G14" i="36"/>
  <c r="G15" i="36"/>
  <c r="G10" i="36"/>
  <c r="J15" i="24" a="1"/>
  <c r="J15" i="24" s="1"/>
  <c r="I12" i="51" a="1"/>
  <c r="I12" i="51" s="1"/>
  <c r="F21" i="51"/>
  <c r="F20" i="51"/>
  <c r="F19" i="51"/>
  <c r="F18" i="51"/>
  <c r="F17" i="51"/>
  <c r="F16" i="51"/>
  <c r="F15" i="51"/>
  <c r="F14" i="51"/>
  <c r="F13" i="51"/>
  <c r="G12" i="51" a="1"/>
  <c r="G12" i="51" s="1"/>
  <c r="F12" i="51"/>
  <c r="B4" i="51"/>
  <c r="M16" i="28" a="1"/>
  <c r="M16" i="28" s="1"/>
  <c r="F21" i="50"/>
  <c r="F20" i="50"/>
  <c r="F19" i="50"/>
  <c r="F18" i="50"/>
  <c r="F17" i="50"/>
  <c r="F16" i="50"/>
  <c r="F15" i="50"/>
  <c r="F14" i="50"/>
  <c r="F13" i="50"/>
  <c r="G12" i="50" a="1"/>
  <c r="G12" i="50" s="1"/>
  <c r="F12" i="50"/>
  <c r="B4" i="50"/>
  <c r="B4" i="49"/>
  <c r="H19" i="46" a="1"/>
  <c r="H19" i="46" s="1"/>
  <c r="B4" i="47"/>
  <c r="K13" i="46" a="1"/>
  <c r="K13" i="46" s="1"/>
  <c r="D13" i="46" a="1"/>
  <c r="D13" i="46" s="1"/>
  <c r="K13" i="45" a="1"/>
  <c r="K13" i="45" s="1"/>
  <c r="O17" i="43" a="1"/>
  <c r="O17" i="43" s="1"/>
  <c r="Z22" i="44" a="1"/>
  <c r="Z22" i="44" s="1"/>
  <c r="Z21" i="44" a="1"/>
  <c r="Z21" i="44" s="1"/>
  <c r="Z20" i="44" a="1"/>
  <c r="Z20" i="44" s="1"/>
  <c r="Z19" i="44" a="1"/>
  <c r="Z19" i="44" s="1"/>
  <c r="Z18" i="44" a="1"/>
  <c r="Z18" i="44" s="1"/>
  <c r="Z17" i="44" a="1"/>
  <c r="Z17" i="44" s="1"/>
  <c r="Z16" i="44" a="1"/>
  <c r="Z16" i="44" s="1"/>
  <c r="Z15" i="44" a="1"/>
  <c r="Z15" i="44" s="1"/>
  <c r="Z14" i="44" a="1"/>
  <c r="Z14" i="44" s="1"/>
  <c r="Z13" i="44" a="1"/>
  <c r="Z13" i="44" s="1"/>
  <c r="Z12" i="44" a="1"/>
  <c r="Z12" i="44" s="1"/>
  <c r="Z11" i="44" a="1"/>
  <c r="Z11" i="44" s="1"/>
  <c r="Z10" i="44" a="1"/>
  <c r="Z10" i="44" s="1"/>
  <c r="Z9" i="44" a="1"/>
  <c r="Z9" i="44" s="1"/>
  <c r="Z8" i="44" a="1"/>
  <c r="Z8" i="44" s="1"/>
  <c r="Z7" i="44" a="1"/>
  <c r="Z7" i="44" s="1"/>
  <c r="J22" i="43" a="1"/>
  <c r="J22" i="43" s="1"/>
  <c r="I22" i="43" a="1"/>
  <c r="I22" i="43" s="1"/>
  <c r="H22" i="43" a="1"/>
  <c r="H22" i="43" s="1"/>
  <c r="J21" i="43" a="1"/>
  <c r="J21" i="43" s="1"/>
  <c r="I21" i="43" a="1"/>
  <c r="I21" i="43" s="1"/>
  <c r="H21" i="43" a="1"/>
  <c r="H21" i="43" s="1"/>
  <c r="J20" i="43" a="1"/>
  <c r="J20" i="43" s="1"/>
  <c r="I20" i="43" a="1"/>
  <c r="I20" i="43" s="1"/>
  <c r="H20" i="43" a="1"/>
  <c r="H20" i="43" s="1"/>
  <c r="J19" i="43" a="1"/>
  <c r="J19" i="43" s="1"/>
  <c r="I19" i="43" a="1"/>
  <c r="I19" i="43" s="1"/>
  <c r="H19" i="43" a="1"/>
  <c r="H19" i="43" s="1"/>
  <c r="J18" i="43" a="1"/>
  <c r="J18" i="43" s="1"/>
  <c r="I18" i="43" a="1"/>
  <c r="I18" i="43" s="1"/>
  <c r="H18" i="43" a="1"/>
  <c r="H18" i="43" s="1"/>
  <c r="J17" i="43" a="1"/>
  <c r="J17" i="43" s="1"/>
  <c r="I17" i="43" a="1"/>
  <c r="I17" i="43" s="1"/>
  <c r="H17" i="43" a="1"/>
  <c r="H17" i="43" s="1"/>
  <c r="V16" i="43" a="1"/>
  <c r="V16" i="43" s="1"/>
  <c r="B11" i="43"/>
  <c r="B10" i="43"/>
  <c r="B8" i="43"/>
  <c r="B7" i="43"/>
  <c r="B5" i="43"/>
  <c r="B4" i="43"/>
  <c r="G9" i="16"/>
  <c r="G8" i="42"/>
  <c r="G6" i="42"/>
  <c r="E6" i="42" a="1"/>
  <c r="E6" i="42" s="1"/>
  <c r="G5" i="42"/>
  <c r="B22" i="41" a="1"/>
  <c r="B22" i="41" s="1"/>
  <c r="E14" i="41"/>
  <c r="E12" i="41"/>
  <c r="E11" i="41"/>
  <c r="C11" i="41"/>
  <c r="G19" i="39"/>
  <c r="G18" i="39"/>
  <c r="G17" i="39"/>
  <c r="G16" i="39"/>
  <c r="G15" i="39"/>
  <c r="G14" i="39"/>
  <c r="G13" i="39"/>
  <c r="G12" i="39"/>
  <c r="G11" i="39"/>
  <c r="H10" i="39" a="1"/>
  <c r="H10" i="39" s="1"/>
  <c r="G10" i="39"/>
  <c r="E23" i="38"/>
  <c r="C23" i="38"/>
  <c r="D23" i="38" s="1"/>
  <c r="E22" i="38"/>
  <c r="C22" i="38"/>
  <c r="D22" i="38" s="1"/>
  <c r="E21" i="38"/>
  <c r="C21" i="38"/>
  <c r="D21" i="38" s="1"/>
  <c r="E20" i="38"/>
  <c r="D20" i="38"/>
  <c r="D7" i="38" a="1"/>
  <c r="D7" i="38" s="1"/>
  <c r="E7" i="38" s="1" a="1"/>
  <c r="E7" i="38" s="1"/>
  <c r="E15" i="36"/>
  <c r="E14" i="36"/>
  <c r="E13" i="36"/>
  <c r="E12" i="36"/>
  <c r="E11" i="36"/>
  <c r="F10" i="36" a="1"/>
  <c r="F10" i="36" s="1"/>
  <c r="E10" i="36"/>
  <c r="C36" i="33" a="1"/>
  <c r="C36" i="33" s="1"/>
  <c r="C23" i="33"/>
  <c r="B23" i="33"/>
  <c r="C12" i="33"/>
  <c r="C11" i="33"/>
  <c r="B6" i="33"/>
  <c r="B4" i="33"/>
  <c r="G65" i="32" a="1"/>
  <c r="G65" i="32" s="1"/>
  <c r="E62" i="32"/>
  <c r="D62" i="32"/>
  <c r="E61" i="32"/>
  <c r="D61" i="32"/>
  <c r="F60" i="32" a="1"/>
  <c r="F60" i="32" s="1"/>
  <c r="E60" i="32"/>
  <c r="D60" i="32"/>
  <c r="C48" i="32" a="1"/>
  <c r="C48" i="32" s="1"/>
  <c r="C45" i="32"/>
  <c r="E37" i="32"/>
  <c r="E36" i="32"/>
  <c r="D30" i="32"/>
  <c r="D29" i="32"/>
  <c r="C28" i="32"/>
  <c r="B22" i="32"/>
  <c r="C19" i="32" a="1"/>
  <c r="C19" i="32" s="1"/>
  <c r="C10" i="32"/>
  <c r="C6" i="32"/>
  <c r="I5" i="32"/>
  <c r="I6" i="32" s="1"/>
  <c r="F61" i="30"/>
  <c r="F62" i="30"/>
  <c r="F60" i="30"/>
  <c r="E60" i="30"/>
  <c r="E61" i="30"/>
  <c r="E62" i="30"/>
  <c r="D61" i="30"/>
  <c r="D62" i="30"/>
  <c r="D60" i="30"/>
  <c r="D48" i="30" a="1"/>
  <c r="D48" i="30" s="1"/>
  <c r="C48" i="30" a="1"/>
  <c r="C48" i="30" s="1"/>
  <c r="C45" i="30"/>
  <c r="C28" i="30"/>
  <c r="C6" i="30"/>
  <c r="C10" i="30"/>
  <c r="D30" i="30"/>
  <c r="D29" i="30"/>
  <c r="F36" i="30" a="1"/>
  <c r="F36" i="30" s="1"/>
  <c r="E36" i="30"/>
  <c r="E37" i="30"/>
  <c r="D21" i="30" a="1"/>
  <c r="D21" i="30" s="1"/>
  <c r="B22" i="30"/>
  <c r="C19" i="30" a="1"/>
  <c r="C19" i="30" s="1"/>
  <c r="D10" i="30" a="1"/>
  <c r="D10" i="30" s="1"/>
  <c r="B10" i="30"/>
  <c r="P35" i="29"/>
  <c r="C23" i="29"/>
  <c r="B23" i="29"/>
  <c r="B6" i="29"/>
  <c r="B4" i="29"/>
  <c r="G31" i="28"/>
  <c r="G30" i="28"/>
  <c r="G29" i="28"/>
  <c r="G28" i="28"/>
  <c r="G27" i="28"/>
  <c r="G26" i="28"/>
  <c r="G25" i="28"/>
  <c r="G24" i="28"/>
  <c r="G23" i="28"/>
  <c r="G22" i="28"/>
  <c r="G21" i="28"/>
  <c r="G20" i="28"/>
  <c r="G19" i="28"/>
  <c r="G18" i="28"/>
  <c r="G17" i="28"/>
  <c r="K16" i="28" a="1"/>
  <c r="K16" i="28" s="1"/>
  <c r="J16" i="28" a="1"/>
  <c r="J16" i="28" s="1"/>
  <c r="I16" i="28" a="1"/>
  <c r="I16" i="28" s="1"/>
  <c r="H16" i="28" a="1"/>
  <c r="H16" i="28" s="1"/>
  <c r="G16" i="28"/>
  <c r="K13" i="28"/>
  <c r="J13" i="28"/>
  <c r="I13" i="28"/>
  <c r="H13" i="28"/>
  <c r="K12" i="28"/>
  <c r="J12" i="28"/>
  <c r="I12" i="28"/>
  <c r="H12" i="28"/>
  <c r="K11" i="28"/>
  <c r="J11" i="28"/>
  <c r="I11" i="28"/>
  <c r="H11" i="28"/>
  <c r="B8" i="28"/>
  <c r="B7" i="28"/>
  <c r="B6" i="28"/>
  <c r="B5" i="28"/>
  <c r="B4" i="28"/>
  <c r="B3" i="28"/>
  <c r="G31" i="27"/>
  <c r="G30" i="27"/>
  <c r="G29" i="27"/>
  <c r="G28" i="27"/>
  <c r="G27" i="27"/>
  <c r="G26" i="27"/>
  <c r="G25" i="27"/>
  <c r="G24" i="27"/>
  <c r="G23" i="27"/>
  <c r="G22" i="27"/>
  <c r="G21" i="27"/>
  <c r="G20" i="27"/>
  <c r="G19" i="27"/>
  <c r="G18" i="27"/>
  <c r="G17" i="27"/>
  <c r="G16" i="27"/>
  <c r="K14" i="27"/>
  <c r="J14" i="27"/>
  <c r="I14" i="27"/>
  <c r="H14" i="27"/>
  <c r="B8" i="27"/>
  <c r="B7" i="27"/>
  <c r="B6" i="27"/>
  <c r="B5" i="27"/>
  <c r="B4" i="27"/>
  <c r="B3" i="27"/>
  <c r="J18" i="26"/>
  <c r="G18" i="26"/>
  <c r="J17" i="26"/>
  <c r="G17" i="26"/>
  <c r="J16" i="26"/>
  <c r="G16" i="26"/>
  <c r="J15" i="26"/>
  <c r="G15" i="26"/>
  <c r="J14" i="26"/>
  <c r="G14" i="26"/>
  <c r="J13" i="26"/>
  <c r="G13" i="26"/>
  <c r="J12" i="26"/>
  <c r="G12" i="26"/>
  <c r="N8" i="26" a="1"/>
  <c r="N8" i="26" s="1"/>
  <c r="L8" i="26"/>
  <c r="J8" i="26"/>
  <c r="I8" i="26"/>
  <c r="G8" i="26"/>
  <c r="L7" i="26"/>
  <c r="I7" i="26"/>
  <c r="R8" i="25"/>
  <c r="P8" i="25" a="1"/>
  <c r="P8" i="25" s="1"/>
  <c r="R7" i="25"/>
  <c r="I5" i="24"/>
  <c r="G5" i="24" a="1"/>
  <c r="G5" i="24" s="1"/>
  <c r="F5" i="24" a="1"/>
  <c r="F5" i="24" s="1"/>
  <c r="E5" i="24" a="1"/>
  <c r="E5" i="24" s="1"/>
  <c r="I4" i="24"/>
  <c r="G2" i="24"/>
  <c r="I5" i="23"/>
  <c r="I4" i="23"/>
  <c r="G2" i="23"/>
  <c r="T8" i="21" a="1"/>
  <c r="T8" i="21" s="1"/>
  <c r="G19" i="21" a="1"/>
  <c r="G19" i="21" s="1"/>
  <c r="F19" i="21"/>
  <c r="E19" i="21"/>
  <c r="G18" i="21" a="1"/>
  <c r="G18" i="21" s="1"/>
  <c r="F18" i="21"/>
  <c r="E18" i="21"/>
  <c r="G17" i="21" a="1"/>
  <c r="G17" i="21" s="1"/>
  <c r="F17" i="21"/>
  <c r="E17" i="21"/>
  <c r="G16" i="21" a="1"/>
  <c r="G16" i="21" s="1"/>
  <c r="F16" i="21"/>
  <c r="E16" i="21"/>
  <c r="G15" i="21" a="1"/>
  <c r="G15" i="21" s="1"/>
  <c r="F15" i="21"/>
  <c r="E15" i="21"/>
  <c r="G14" i="21" a="1"/>
  <c r="G14" i="21" s="1"/>
  <c r="F14" i="21"/>
  <c r="E14" i="21"/>
  <c r="G13" i="21" a="1"/>
  <c r="G13" i="21" s="1"/>
  <c r="F13" i="21"/>
  <c r="E13" i="21"/>
  <c r="G12" i="21" a="1"/>
  <c r="G12" i="21" s="1"/>
  <c r="F12" i="21"/>
  <c r="E12" i="21"/>
  <c r="G11" i="21" a="1"/>
  <c r="G11" i="21" s="1"/>
  <c r="F11" i="21"/>
  <c r="E11" i="21"/>
  <c r="G10" i="21" a="1"/>
  <c r="G10" i="21" s="1"/>
  <c r="F10" i="21"/>
  <c r="E10" i="21"/>
  <c r="G9" i="21" a="1"/>
  <c r="G9" i="21" s="1"/>
  <c r="F9" i="21"/>
  <c r="E9" i="21"/>
  <c r="G8" i="21" a="1"/>
  <c r="G8" i="21" s="1"/>
  <c r="F8" i="21"/>
  <c r="E8" i="21"/>
  <c r="AC29" i="19"/>
  <c r="AA29" i="19"/>
  <c r="AC26" i="19"/>
  <c r="AB26" i="19"/>
  <c r="AC25" i="19"/>
  <c r="AB25" i="19" a="1"/>
  <c r="AB25" i="19" s="1"/>
  <c r="AC24" i="19"/>
  <c r="AB24" i="19" a="1"/>
  <c r="AB24" i="19" s="1"/>
  <c r="H23" i="19" a="1"/>
  <c r="H23" i="19" s="1"/>
  <c r="G23" i="19" a="1"/>
  <c r="G23" i="19" s="1"/>
  <c r="I23" i="19" s="1" a="1"/>
  <c r="I23" i="19" s="1"/>
  <c r="AC22" i="19"/>
  <c r="F18" i="19" a="1"/>
  <c r="F18" i="19" s="1"/>
  <c r="D18" i="19" a="1"/>
  <c r="D18" i="19" s="1"/>
  <c r="F17" i="19" a="1"/>
  <c r="F17" i="19" s="1"/>
  <c r="D17" i="19" a="1"/>
  <c r="D17" i="19" s="1"/>
  <c r="F16" i="19" a="1"/>
  <c r="F16" i="19" s="1"/>
  <c r="D16" i="19" a="1"/>
  <c r="D16" i="19" s="1"/>
  <c r="F15" i="19" a="1"/>
  <c r="F15" i="19" s="1"/>
  <c r="D15" i="19" a="1"/>
  <c r="D15" i="19" s="1"/>
  <c r="F14" i="19" a="1"/>
  <c r="F14" i="19" s="1"/>
  <c r="D14" i="19" a="1"/>
  <c r="D14" i="19" s="1"/>
  <c r="F13" i="19" a="1"/>
  <c r="F13" i="19" s="1"/>
  <c r="D13" i="19" a="1"/>
  <c r="D13" i="19" s="1"/>
  <c r="F12" i="19" a="1"/>
  <c r="F12" i="19" s="1"/>
  <c r="D12" i="19" a="1"/>
  <c r="D12" i="19" s="1"/>
  <c r="E16" i="18"/>
  <c r="E15" i="18"/>
  <c r="E14" i="18"/>
  <c r="E13" i="18"/>
  <c r="G11" i="18" a="1"/>
  <c r="G11" i="18" s="1"/>
  <c r="M10" i="18" a="1"/>
  <c r="M10" i="18" s="1"/>
  <c r="G10" i="18" a="1"/>
  <c r="G10" i="18" s="1"/>
  <c r="F10" i="18" a="1"/>
  <c r="F10" i="18" s="1"/>
  <c r="D14" i="17"/>
  <c r="B14" i="17"/>
  <c r="D13" i="17"/>
  <c r="B13" i="17"/>
  <c r="D12" i="17"/>
  <c r="B12" i="17"/>
  <c r="G8" i="16"/>
  <c r="G5" i="16"/>
  <c r="E14" i="15"/>
  <c r="B22" i="15" a="1"/>
  <c r="B22" i="15" s="1"/>
  <c r="E12" i="15"/>
  <c r="E11" i="15"/>
  <c r="C11" i="15"/>
  <c r="E20" i="12"/>
  <c r="C20" i="12"/>
  <c r="E19" i="12"/>
  <c r="C19" i="12"/>
  <c r="E18" i="12"/>
  <c r="C18" i="12"/>
  <c r="E17" i="12"/>
  <c r="G3" i="4"/>
  <c r="B3" i="8"/>
  <c r="H14" i="4"/>
  <c r="G14" i="4"/>
  <c r="E14" i="4"/>
  <c r="H13" i="4"/>
  <c r="G13" i="4"/>
  <c r="E13" i="4"/>
  <c r="H12" i="4"/>
  <c r="G12" i="4"/>
  <c r="E12" i="4"/>
  <c r="H11" i="4"/>
  <c r="G11" i="4"/>
  <c r="F11" i="4"/>
  <c r="F12" i="4" s="1"/>
  <c r="E11" i="4"/>
  <c r="H10" i="4"/>
  <c r="G10" i="4"/>
  <c r="E10" i="4"/>
  <c r="H9" i="4"/>
  <c r="G9" i="4"/>
  <c r="E9" i="4"/>
  <c r="H8" i="4"/>
  <c r="G8" i="4"/>
  <c r="E8" i="4"/>
  <c r="H7" i="4"/>
  <c r="F7" i="4"/>
  <c r="H6" i="4"/>
  <c r="G6" i="4"/>
  <c r="E6" i="4"/>
  <c r="H5" i="4"/>
  <c r="G5" i="4"/>
  <c r="E5" i="4"/>
  <c r="H4" i="4"/>
  <c r="G4" i="4"/>
  <c r="E4" i="4"/>
  <c r="H3" i="4"/>
  <c r="E3" i="4"/>
  <c r="E2" i="4"/>
  <c r="H11" i="3"/>
  <c r="G11" i="3"/>
  <c r="F11" i="3"/>
  <c r="E11" i="3"/>
  <c r="D11" i="3"/>
  <c r="C11" i="3"/>
  <c r="H10" i="3"/>
  <c r="G10" i="3"/>
  <c r="F10" i="3"/>
  <c r="E10" i="3"/>
  <c r="D10" i="3"/>
  <c r="C10" i="3"/>
  <c r="H9" i="3"/>
  <c r="G9" i="3"/>
  <c r="F9" i="3"/>
  <c r="E9" i="3"/>
  <c r="D9" i="3"/>
  <c r="C9" i="3"/>
  <c r="H8" i="3"/>
  <c r="G8" i="3"/>
  <c r="F8" i="3"/>
  <c r="E8" i="3"/>
  <c r="D8" i="3"/>
  <c r="C8" i="3"/>
  <c r="H3" i="44" l="1" a="1"/>
  <c r="H3" i="44" s="1"/>
  <c r="F2" i="23"/>
  <c r="E2" i="23"/>
  <c r="B21" i="41"/>
  <c r="B12" i="41" a="1"/>
  <c r="B12" i="41" s="1"/>
  <c r="C12" i="41"/>
  <c r="C26" i="33"/>
  <c r="C25" i="33"/>
  <c r="J9" i="26"/>
  <c r="G9" i="26"/>
  <c r="F2" i="24"/>
  <c r="E2" i="24"/>
  <c r="C12" i="15"/>
  <c r="B21" i="15"/>
  <c r="E7" i="4"/>
  <c r="G7" i="4"/>
  <c r="J10" i="26" l="1"/>
  <c r="G10" i="26"/>
  <c r="G11" i="26" l="1"/>
  <c r="J11" i="2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<sst xmlns="http://schemas.openxmlformats.org/spreadsheetml/2006/main" count="1126" uniqueCount="468">
  <si>
    <r>
      <rPr>
        <b/>
        <sz val="13"/>
        <color theme="1"/>
        <rFont val="Calibri"/>
        <family val="2"/>
        <scheme val="minor"/>
      </rPr>
      <t>Goal of IF Function</t>
    </r>
    <r>
      <rPr>
        <sz val="13"/>
        <color theme="1"/>
        <rFont val="Calibri"/>
        <family val="2"/>
        <scheme val="minor"/>
      </rPr>
      <t>: Deliver one of two items based on a logical test.</t>
    </r>
  </si>
  <si>
    <t>IF(logical_test, [value_if_true], [value_if_false])</t>
  </si>
  <si>
    <t>Logical Test:</t>
  </si>
  <si>
    <r>
      <t xml:space="preserve">A </t>
    </r>
    <r>
      <rPr>
        <b/>
        <sz val="11"/>
        <color theme="1"/>
        <rFont val="Calibri"/>
        <family val="2"/>
        <scheme val="minor"/>
      </rPr>
      <t>logical test</t>
    </r>
    <r>
      <rPr>
        <sz val="11"/>
        <color theme="1"/>
        <rFont val="Calibri"/>
        <family val="2"/>
        <scheme val="minor"/>
      </rPr>
      <t xml:space="preserve"> is an expression (formula) that evaluates to one of only two possible values TRUE or FALSE.</t>
    </r>
  </si>
  <si>
    <r>
      <t xml:space="preserve">A logical test can have one or more requirements called </t>
    </r>
    <r>
      <rPr>
        <b/>
        <sz val="11"/>
        <color theme="1"/>
        <rFont val="Calibri"/>
        <family val="2"/>
        <scheme val="minor"/>
      </rPr>
      <t>conditions</t>
    </r>
    <r>
      <rPr>
        <sz val="11"/>
        <color theme="1"/>
        <rFont val="Calibri"/>
        <family val="2"/>
        <scheme val="minor"/>
      </rPr>
      <t xml:space="preserve"> of </t>
    </r>
    <r>
      <rPr>
        <b/>
        <sz val="11"/>
        <color theme="1"/>
        <rFont val="Calibri"/>
        <family val="2"/>
        <scheme val="minor"/>
      </rPr>
      <t>criteria</t>
    </r>
    <r>
      <rPr>
        <sz val="11"/>
        <color theme="1"/>
        <rFont val="Calibri"/>
        <family val="2"/>
        <scheme val="minor"/>
      </rPr>
      <t>.</t>
    </r>
  </si>
  <si>
    <t>You can use the aggregate functions AND, OR and NOT to create AND, OR or OR Logical Tests.</t>
  </si>
  <si>
    <t>You can use comparative operators (&gt;, &gt;=, &lt;, &lt;=, =, &lt;&gt;) and IS functions (like ISNUMBER or ISTEXT) to create individual logical tests.</t>
  </si>
  <si>
    <t>Except in the Power Query tool, logical tests are not case-sensitive, so "Quad" = "quad" = TRUE.</t>
  </si>
  <si>
    <t>Except in the Power Query tool, any non-zero number is interpreted as TRUE and zero is interpreted as FALSE.</t>
  </si>
  <si>
    <r>
      <t xml:space="preserve">If you ask the question "Is the value a number?", the condition is </t>
    </r>
    <r>
      <rPr>
        <i/>
        <sz val="11"/>
        <color theme="1"/>
        <rFont val="Calibri"/>
        <family val="2"/>
        <scheme val="minor"/>
      </rPr>
      <t>Is the data type a number?</t>
    </r>
  </si>
  <si>
    <t>In SUMIFS and similar function, the comparative operator is a text value, but in all other logical tests, the comparative operator is placed directly next to values such as: 65000&gt;50000 or G20&gt;G19.</t>
  </si>
  <si>
    <t>Comparative Operator:</t>
  </si>
  <si>
    <t xml:space="preserve"> =</t>
  </si>
  <si>
    <t xml:space="preserve"> &gt;</t>
  </si>
  <si>
    <t xml:space="preserve"> &gt;=</t>
  </si>
  <si>
    <t>&lt;</t>
  </si>
  <si>
    <t xml:space="preserve"> &lt;=</t>
  </si>
  <si>
    <t xml:space="preserve"> &lt;&gt;</t>
  </si>
  <si>
    <t>Possible Words:</t>
  </si>
  <si>
    <t>equal</t>
  </si>
  <si>
    <t>greater than</t>
  </si>
  <si>
    <t>greater than or equal to</t>
  </si>
  <si>
    <t>less than</t>
  </si>
  <si>
    <t>less than or equal to</t>
  </si>
  <si>
    <t>not</t>
  </si>
  <si>
    <t>more than</t>
  </si>
  <si>
    <t>at least</t>
  </si>
  <si>
    <t>below</t>
  </si>
  <si>
    <t>at most</t>
  </si>
  <si>
    <t>complement of</t>
  </si>
  <si>
    <t>above</t>
  </si>
  <si>
    <t>no less than</t>
  </si>
  <si>
    <t>under</t>
  </si>
  <si>
    <t>no more than</t>
  </si>
  <si>
    <t>X or more</t>
  </si>
  <si>
    <t>X or less</t>
  </si>
  <si>
    <t>Examples of Words:</t>
  </si>
  <si>
    <t>IS function</t>
  </si>
  <si>
    <t>Logical question that function asks</t>
  </si>
  <si>
    <t>Value</t>
  </si>
  <si>
    <t>Result</t>
  </si>
  <si>
    <t>Formula</t>
  </si>
  <si>
    <t>ISNUMBER</t>
  </si>
  <si>
    <t>Is value a number?</t>
  </si>
  <si>
    <t>ISTEXT</t>
  </si>
  <si>
    <t>Is value text?</t>
  </si>
  <si>
    <t>ISBLANK</t>
  </si>
  <si>
    <t>Is cell empty cell?</t>
  </si>
  <si>
    <t>ISNA</t>
  </si>
  <si>
    <t>Is value an #N/A error?</t>
  </si>
  <si>
    <t>ISERR</t>
  </si>
  <si>
    <t>Is value an error, except for #N/A?</t>
  </si>
  <si>
    <t>ISERROR</t>
  </si>
  <si>
    <t>Is value an error? (#DIV/0!, #REF!, #NAME?, #N/A, #VALUE!, #NULL!, #NUM!, #SPILL!, #CALC!, #BUSY!).</t>
  </si>
  <si>
    <t>ISNONTEXT</t>
  </si>
  <si>
    <t>Is value NOT text?</t>
  </si>
  <si>
    <t>ISLOGICAL</t>
  </si>
  <si>
    <t>Is value a logical value?</t>
  </si>
  <si>
    <t>ISFORMULA</t>
  </si>
  <si>
    <t>Does cell contains a formula?</t>
  </si>
  <si>
    <t>ISREF</t>
  </si>
  <si>
    <t>Is the value a reference?</t>
  </si>
  <si>
    <t>ISEVEN</t>
  </si>
  <si>
    <t>Is number even?</t>
  </si>
  <si>
    <t>ISODD</t>
  </si>
  <si>
    <t>Is number odd?</t>
  </si>
  <si>
    <t>AND(logical1, [logical2],...)</t>
  </si>
  <si>
    <t>OR(logical1, [logical2],...)</t>
  </si>
  <si>
    <r>
      <rPr>
        <b/>
        <sz val="13"/>
        <color theme="1"/>
        <rFont val="Calibri"/>
        <family val="2"/>
        <scheme val="minor"/>
      </rPr>
      <t>Goal</t>
    </r>
    <r>
      <rPr>
        <sz val="13"/>
        <color theme="1"/>
        <rFont val="Calibri"/>
        <family val="2"/>
        <scheme val="minor"/>
      </rPr>
      <t>: Deliver TRUE if all logical tests evaluate to TRUE.</t>
    </r>
  </si>
  <si>
    <r>
      <rPr>
        <b/>
        <sz val="13"/>
        <color theme="1"/>
        <rFont val="Calibri"/>
        <family val="2"/>
        <scheme val="minor"/>
      </rPr>
      <t>Goal</t>
    </r>
    <r>
      <rPr>
        <sz val="13"/>
        <color theme="1"/>
        <rFont val="Calibri"/>
        <family val="2"/>
        <scheme val="minor"/>
      </rPr>
      <t>: Deliver TRUE if one or more tests evaluate to TRUE.</t>
    </r>
  </si>
  <si>
    <t>NOT(logical)</t>
  </si>
  <si>
    <r>
      <rPr>
        <b/>
        <sz val="13"/>
        <color theme="1"/>
        <rFont val="Calibri"/>
        <family val="2"/>
        <scheme val="minor"/>
      </rPr>
      <t>Goal</t>
    </r>
    <r>
      <rPr>
        <sz val="13"/>
        <color theme="1"/>
        <rFont val="Calibri"/>
        <family val="2"/>
        <scheme val="minor"/>
      </rPr>
      <t>: Changes FALSE to TRUE or TRUE to FALSE.</t>
    </r>
  </si>
  <si>
    <t>Length:</t>
  </si>
  <si>
    <t>Topics</t>
  </si>
  <si>
    <t>IF Function</t>
  </si>
  <si>
    <t>Logical Tests</t>
  </si>
  <si>
    <t>Types of logical tests:</t>
  </si>
  <si>
    <t>Single Condition Logical Test = Single condition must match</t>
  </si>
  <si>
    <t>NOT Logical Test = Checks whether two items are not equal</t>
  </si>
  <si>
    <t>OR Logical Test = Run two or more logical tests and one or more test must equal TRUE for OR Logical Test to deliver a TRUE. Math operator is +</t>
  </si>
  <si>
    <t>AND Logical Test = Run two or more logical tests and all tests must equal TRUE  for AND Logical Test to deliver a TRUE. Math operator is *</t>
  </si>
  <si>
    <t>BETWEEN Logical Test = Is a type of AND Logical Test that tests whether a value is between a lower and upper value,like is 15 between 10 and 19? TRUE.</t>
  </si>
  <si>
    <t>Comparative Operators</t>
  </si>
  <si>
    <t>IS Functions</t>
  </si>
  <si>
    <t>AND, OR, and NOT functions</t>
  </si>
  <si>
    <r>
      <t xml:space="preserve">If you ask the question: "Are sales greater than or equal to 50,000?", the condition is </t>
    </r>
    <r>
      <rPr>
        <i/>
        <sz val="11"/>
        <color theme="1"/>
        <rFont val="Calibri"/>
        <family val="2"/>
        <scheme val="minor"/>
      </rPr>
      <t>&gt;=50000</t>
    </r>
    <r>
      <rPr>
        <sz val="11"/>
        <color theme="1"/>
        <rFont val="Calibri"/>
        <family val="2"/>
        <scheme val="minor"/>
      </rPr>
      <t>.</t>
    </r>
  </si>
  <si>
    <r>
      <rPr>
        <b/>
        <sz val="11"/>
        <color theme="1"/>
        <rFont val="Calibri"/>
        <family val="2"/>
        <scheme val="minor"/>
      </rPr>
      <t>Single condition logical test:</t>
    </r>
    <r>
      <rPr>
        <sz val="11"/>
        <color theme="1"/>
        <rFont val="Calibri"/>
        <family val="2"/>
        <scheme val="minor"/>
      </rPr>
      <t xml:space="preserve"> Mom says: "If you take out the garbage, you get dessert".</t>
    </r>
  </si>
  <si>
    <t>If "take out garbage" = TRUE, you get dessert</t>
  </si>
  <si>
    <r>
      <rPr>
        <b/>
        <sz val="11"/>
        <color theme="1"/>
        <rFont val="Calibri"/>
        <family val="2"/>
        <scheme val="minor"/>
      </rPr>
      <t>Two condition logical test: Mom says:</t>
    </r>
    <r>
      <rPr>
        <sz val="11"/>
        <color theme="1"/>
        <rFont val="Calibri"/>
        <family val="2"/>
        <scheme val="minor"/>
      </rPr>
      <t xml:space="preserve"> “If you take out the garbage AND clean the table, you get dessert”.</t>
    </r>
  </si>
  <si>
    <t>If "take out garbage" = TRUE   AND   "clean the table" = TRUE, you get dessert</t>
  </si>
  <si>
    <t>TRUE, TRUE = you get dessert</t>
  </si>
  <si>
    <t>AND Logical Test =</t>
  </si>
  <si>
    <t>Four possibilities for an AND Logical Test with two tests:</t>
  </si>
  <si>
    <t>TRUE, TRUE = TRUE =    you get dessert</t>
  </si>
  <si>
    <t>TRUE, FALSE = FALSE =   No dessert</t>
  </si>
  <si>
    <t>FALSE, TRUE = FALSE =   No dessert</t>
  </si>
  <si>
    <t>FALSE, FALSE = FALSE =   No dessert</t>
  </si>
  <si>
    <r>
      <rPr>
        <b/>
        <sz val="11"/>
        <color theme="1"/>
        <rFont val="Calibri"/>
        <family val="2"/>
        <scheme val="minor"/>
      </rPr>
      <t>Two condition logical test: Mom says:</t>
    </r>
    <r>
      <rPr>
        <sz val="11"/>
        <color theme="1"/>
        <rFont val="Calibri"/>
        <family val="2"/>
        <scheme val="minor"/>
      </rPr>
      <t xml:space="preserve"> “If you take out the garbage OR clean the table, you get dessert”.</t>
    </r>
  </si>
  <si>
    <t>You get dessert if you just take out garbage, or you just clean the table, or you do both!</t>
  </si>
  <si>
    <t>OR Logical Test</t>
  </si>
  <si>
    <t>One or more tests needs to come out true in order to count or add an item.</t>
  </si>
  <si>
    <t>Four possibilities for an OR Logical Test with two tests:</t>
  </si>
  <si>
    <t>TRUE, TRUE = TRUE          2 TRUEs</t>
  </si>
  <si>
    <t>FALSE, TRUE = TRUE         1 TRUE</t>
  </si>
  <si>
    <t>TRUE, FALSE = TRUE         1 TRUE</t>
  </si>
  <si>
    <t>FALSE, FALSE = FALSE        0 TRUE</t>
  </si>
  <si>
    <t>Hurdle:</t>
  </si>
  <si>
    <t xml:space="preserve">All tests must be met, for the item to be included. </t>
  </si>
  <si>
    <t>Two or more logical tests are used to test whether to count or add an item.</t>
  </si>
  <si>
    <t>IF to Deliver 1 of 2 Items</t>
  </si>
  <si>
    <t>1) Did employee get bonus? TRUE or FALSE?</t>
  </si>
  <si>
    <t>Do You Get Bonus?</t>
  </si>
  <si>
    <t>Bonus Hurdle</t>
  </si>
  <si>
    <t>1) Do Debits = Credits? TRUE or FALSE?</t>
  </si>
  <si>
    <t>2) If Debits = Credits, show the text "In Balance", if not "NOT In Balance"</t>
  </si>
  <si>
    <t>Debit Numbers</t>
  </si>
  <si>
    <t>Credit Numbers</t>
  </si>
  <si>
    <t>In Balance?</t>
  </si>
  <si>
    <t>Date</t>
  </si>
  <si>
    <t>Check #/Trans #</t>
  </si>
  <si>
    <t>Description</t>
  </si>
  <si>
    <t>Add</t>
  </si>
  <si>
    <t>Subtract</t>
  </si>
  <si>
    <t>Checkbook Balance</t>
  </si>
  <si>
    <t>Bal. Forward</t>
  </si>
  <si>
    <t>Ch. 1034</t>
  </si>
  <si>
    <t>Rent</t>
  </si>
  <si>
    <t>Dept 5458</t>
  </si>
  <si>
    <t>Pay</t>
  </si>
  <si>
    <t>Ch 1035</t>
  </si>
  <si>
    <t>Dept 5511</t>
  </si>
  <si>
    <t>Employee</t>
  </si>
  <si>
    <t>Sales</t>
  </si>
  <si>
    <t>Calculate Commission Paid</t>
  </si>
  <si>
    <t>Hurdle</t>
  </si>
  <si>
    <t>Bonus %</t>
  </si>
  <si>
    <t>No Bonus %</t>
  </si>
  <si>
    <t>Message?</t>
  </si>
  <si>
    <t>Contract Reads if you have sales of more than $30,000, you earn a 5% bonus, otherwise you get a 1% bonus.</t>
  </si>
  <si>
    <t>1) Create a spilled formula that will calculate the paid bonus.</t>
  </si>
  <si>
    <t>* IF delivers one of two numbers to the cell</t>
  </si>
  <si>
    <t>* IF delivers one of two text values to the cell</t>
  </si>
  <si>
    <t>* IF delivers one or two numbers to the formula</t>
  </si>
  <si>
    <r>
      <rPr>
        <b/>
        <sz val="11"/>
        <color theme="1"/>
        <rFont val="Calibri"/>
        <family val="2"/>
        <scheme val="minor"/>
      </rPr>
      <t>Task:</t>
    </r>
    <r>
      <rPr>
        <sz val="11"/>
        <color theme="1"/>
        <rFont val="Calibri"/>
        <family val="2"/>
        <scheme val="minor"/>
      </rPr>
      <t xml:space="preserve"> Create Invoice that can lookup price and calculate sales</t>
    </r>
  </si>
  <si>
    <t>based on whether data is entered into a cell.</t>
  </si>
  <si>
    <r>
      <rPr>
        <b/>
        <sz val="11"/>
        <color theme="1"/>
        <rFont val="Calibri"/>
        <family val="2"/>
        <scheme val="minor"/>
      </rPr>
      <t>Goal:</t>
    </r>
    <r>
      <rPr>
        <sz val="11"/>
        <color theme="1"/>
        <rFont val="Calibri"/>
        <family val="2"/>
        <scheme val="minor"/>
      </rPr>
      <t xml:space="preserve"> Use IF to deliver 1 of 2 items, either a formula or "" (show nothing).</t>
    </r>
  </si>
  <si>
    <t>Product</t>
  </si>
  <si>
    <t>Units Sold</t>
  </si>
  <si>
    <t>Price ($)</t>
  </si>
  <si>
    <t>Sales ($)</t>
  </si>
  <si>
    <t>Price</t>
  </si>
  <si>
    <t>Yanaki</t>
  </si>
  <si>
    <t>Quad</t>
  </si>
  <si>
    <t>Sunshine</t>
  </si>
  <si>
    <t>Carlota</t>
  </si>
  <si>
    <t>Aspen</t>
  </si>
  <si>
    <t>FastCatch</t>
  </si>
  <si>
    <t>Prove it to yourself:</t>
  </si>
  <si>
    <t>Empty cell =&gt;</t>
  </si>
  <si>
    <t>"" =&gt;</t>
  </si>
  <si>
    <r>
      <rPr>
        <b/>
        <sz val="11"/>
        <color theme="1"/>
        <rFont val="Calibri"/>
        <family val="2"/>
        <scheme val="minor"/>
      </rPr>
      <t>Task:</t>
    </r>
    <r>
      <rPr>
        <sz val="11"/>
        <color theme="1"/>
        <rFont val="Calibri"/>
        <family val="2"/>
        <scheme val="minor"/>
      </rPr>
      <t xml:space="preserve"> Students are eligible for scholarship if:</t>
    </r>
  </si>
  <si>
    <t>They have completed 45 or more credits AND have GPA more than 2.5.</t>
  </si>
  <si>
    <r>
      <t>Goal:</t>
    </r>
    <r>
      <rPr>
        <sz val="11"/>
        <color theme="1"/>
        <rFont val="Calibri"/>
        <family val="2"/>
        <scheme val="minor"/>
      </rPr>
      <t xml:space="preserve"> Create formula that shows "Eligible" or "Not Eligible"</t>
    </r>
  </si>
  <si>
    <t>Credit Hurdle:</t>
  </si>
  <si>
    <t>GPA Hurdle:</t>
  </si>
  <si>
    <t>Student</t>
  </si>
  <si>
    <t>Start Date</t>
  </si>
  <si>
    <t>Major</t>
  </si>
  <si>
    <t>Credits</t>
  </si>
  <si>
    <t>GPA</t>
  </si>
  <si>
    <t>Eligible?</t>
  </si>
  <si>
    <t>Carey, Zada</t>
  </si>
  <si>
    <t>Business</t>
  </si>
  <si>
    <t>Emmons, Christi</t>
  </si>
  <si>
    <t>Accounting</t>
  </si>
  <si>
    <t>Lear, Vania</t>
  </si>
  <si>
    <t>Chemistry</t>
  </si>
  <si>
    <t>Meador, Corazon</t>
  </si>
  <si>
    <t>Mohamed, Abdi</t>
  </si>
  <si>
    <t>Nga, Luong</t>
  </si>
  <si>
    <t>Physics</t>
  </si>
  <si>
    <t>Robinson, Chantel</t>
  </si>
  <si>
    <t>History</t>
  </si>
  <si>
    <t>Rouse, Sioux</t>
  </si>
  <si>
    <t>Simone, Alanna</t>
  </si>
  <si>
    <t>Thornburg, Tyrone</t>
  </si>
  <si>
    <t>Sociology</t>
  </si>
  <si>
    <t>Ex 6</t>
  </si>
  <si>
    <r>
      <rPr>
        <b/>
        <sz val="11"/>
        <color theme="1"/>
        <rFont val="Calibri"/>
        <family val="2"/>
        <scheme val="minor"/>
      </rPr>
      <t>Goal:</t>
    </r>
    <r>
      <rPr>
        <sz val="11"/>
        <color theme="1"/>
        <rFont val="Calibri"/>
        <family val="2"/>
        <scheme val="minor"/>
      </rPr>
      <t xml:space="preserve"> Report must have the label: "Net Loss", Net Income" or "Break Even",</t>
    </r>
  </si>
  <si>
    <t>based on whether revenues are less than, equal to or bigger than expenses.</t>
  </si>
  <si>
    <r>
      <rPr>
        <b/>
        <sz val="11"/>
        <color theme="1"/>
        <rFont val="Calibri"/>
        <family val="2"/>
        <scheme val="minor"/>
      </rPr>
      <t>IFS</t>
    </r>
    <r>
      <rPr>
        <sz val="11"/>
        <color theme="1"/>
        <rFont val="Calibri"/>
        <family val="2"/>
        <scheme val="minor"/>
      </rPr>
      <t xml:space="preserve"> to deliver 1 of 3 </t>
    </r>
    <r>
      <rPr>
        <b/>
        <sz val="11"/>
        <color rgb="FFFF0000"/>
        <rFont val="Calibri"/>
        <family val="2"/>
        <scheme val="minor"/>
      </rPr>
      <t>Text Items</t>
    </r>
    <r>
      <rPr>
        <sz val="11"/>
        <color theme="1"/>
        <rFont val="Calibri"/>
        <family val="2"/>
        <scheme val="minor"/>
      </rPr>
      <t xml:space="preserve"> to the </t>
    </r>
    <r>
      <rPr>
        <u/>
        <sz val="11"/>
        <color theme="1"/>
        <rFont val="Calibri"/>
        <family val="2"/>
        <scheme val="minor"/>
      </rPr>
      <t>cell</t>
    </r>
    <r>
      <rPr>
        <sz val="11"/>
        <color theme="1"/>
        <rFont val="Calibri"/>
        <family val="2"/>
        <scheme val="minor"/>
      </rPr>
      <t>: "Net Loss" or "Break Even" or "Net Income"</t>
    </r>
  </si>
  <si>
    <t>Revenue</t>
  </si>
  <si>
    <t>COGS Expense</t>
  </si>
  <si>
    <t>Operations Expense</t>
  </si>
  <si>
    <t>Admin Expense</t>
  </si>
  <si>
    <t>Other Expense</t>
  </si>
  <si>
    <t>Old School used 2 IF functions nested together like:</t>
  </si>
  <si>
    <t>Total Expenses</t>
  </si>
  <si>
    <r>
      <rPr>
        <b/>
        <sz val="11"/>
        <color theme="1"/>
        <rFont val="Calibri"/>
        <family val="2"/>
        <scheme val="minor"/>
      </rPr>
      <t>Goal:</t>
    </r>
    <r>
      <rPr>
        <sz val="11"/>
        <color theme="1"/>
        <rFont val="Calibri"/>
        <family val="2"/>
        <scheme val="minor"/>
      </rPr>
      <t xml:space="preserve"> Show formula in cell if user creates a formula in that cell, otherwise show nothing.</t>
    </r>
  </si>
  <si>
    <r>
      <t xml:space="preserve">Use IF to deliver 1 of 2 items, either a </t>
    </r>
    <r>
      <rPr>
        <b/>
        <sz val="11"/>
        <color theme="1"/>
        <rFont val="Calibri"/>
        <family val="2"/>
        <scheme val="minor"/>
      </rPr>
      <t>formula</t>
    </r>
    <r>
      <rPr>
        <sz val="11"/>
        <color theme="1"/>
        <rFont val="Calibri"/>
        <family val="2"/>
        <scheme val="minor"/>
      </rPr>
      <t xml:space="preserve"> or </t>
    </r>
    <r>
      <rPr>
        <b/>
        <sz val="11"/>
        <color theme="1"/>
        <rFont val="Calibri"/>
        <family val="2"/>
        <scheme val="minor"/>
      </rPr>
      <t>"" (show nothing)</t>
    </r>
    <r>
      <rPr>
        <sz val="11"/>
        <color theme="1"/>
        <rFont val="Calibri"/>
        <family val="2"/>
        <scheme val="minor"/>
      </rPr>
      <t>.</t>
    </r>
  </si>
  <si>
    <t>Units</t>
  </si>
  <si>
    <r>
      <rPr>
        <b/>
        <sz val="11"/>
        <color theme="1"/>
        <rFont val="Calibri"/>
        <family val="2"/>
        <scheme val="minor"/>
      </rPr>
      <t>Goal:</t>
    </r>
    <r>
      <rPr>
        <sz val="11"/>
        <color theme="1"/>
        <rFont val="Calibri"/>
        <family val="2"/>
        <scheme val="minor"/>
      </rPr>
      <t xml:space="preserve"> Create array formula that calculates when 3 or more scores have been entered.</t>
    </r>
  </si>
  <si>
    <t>** Advantage is that the array formula does not have to be evaluated in every</t>
  </si>
  <si>
    <t>row: only rows where the logical test evaluates to TRUE. For large data sets, this</t>
  </si>
  <si>
    <t>Thrower</t>
  </si>
  <si>
    <t>Time 1</t>
  </si>
  <si>
    <t>Time 2</t>
  </si>
  <si>
    <t>Time 3</t>
  </si>
  <si>
    <t>Time 4</t>
  </si>
  <si>
    <t>Time 5</t>
  </si>
  <si>
    <t>Add Top 3</t>
  </si>
  <si>
    <t>Dynamic Spilled Array:</t>
  </si>
  <si>
    <t>Bower</t>
  </si>
  <si>
    <t>Noline</t>
  </si>
  <si>
    <t>Washington</t>
  </si>
  <si>
    <t>Ex 7</t>
  </si>
  <si>
    <t>Ex 8</t>
  </si>
  <si>
    <t>IF to deliver a filtered array</t>
  </si>
  <si>
    <r>
      <rPr>
        <b/>
        <sz val="11"/>
        <color theme="1"/>
        <rFont val="Calibri"/>
        <family val="2"/>
        <scheme val="minor"/>
      </rPr>
      <t xml:space="preserve">Goal: </t>
    </r>
    <r>
      <rPr>
        <sz val="11"/>
        <color theme="1"/>
        <rFont val="Calibri"/>
        <family val="2"/>
        <scheme val="minor"/>
      </rPr>
      <t>Calculate Standard Deviation for each product.</t>
    </r>
  </si>
  <si>
    <t>Standard Deviation tells you how reliable the average is.</t>
  </si>
  <si>
    <t>Small standard deviation = reliable average.</t>
  </si>
  <si>
    <t>Large standard deviation = less reliable average.</t>
  </si>
  <si>
    <t>Average Units</t>
  </si>
  <si>
    <t>Standard Deviation</t>
  </si>
  <si>
    <t>Then formulas copied down.</t>
  </si>
  <si>
    <t>IF or FILTER Function to Deliver a Filtered Array</t>
  </si>
  <si>
    <r>
      <rPr>
        <b/>
        <sz val="11"/>
        <color theme="1"/>
        <rFont val="Calibri"/>
        <family val="2"/>
        <scheme val="minor"/>
      </rPr>
      <t>Goals:</t>
    </r>
    <r>
      <rPr>
        <sz val="11"/>
        <color theme="1"/>
        <rFont val="Calibri"/>
        <family val="2"/>
        <scheme val="minor"/>
      </rPr>
      <t xml:space="preserve"> </t>
    </r>
  </si>
  <si>
    <t>OR logical test where product = Quad OR sales rep = Abdi.</t>
  </si>
  <si>
    <t>Create aggregate calculations using an OR logical test based on two different columns.</t>
  </si>
  <si>
    <t>Cannot use functions like COUNITFS, SUMIFS and the like</t>
  </si>
  <si>
    <t>OR</t>
  </si>
  <si>
    <t>Sales Rep</t>
  </si>
  <si>
    <t>Abdi</t>
  </si>
  <si>
    <t>Count</t>
  </si>
  <si>
    <t>Sum</t>
  </si>
  <si>
    <t>Average</t>
  </si>
  <si>
    <t>Max</t>
  </si>
  <si>
    <t>Min</t>
  </si>
  <si>
    <t>Boolean OR logical test on two columns can result in 0, 1, or 2:</t>
  </si>
  <si>
    <t>Old School Methods (before FILTER):</t>
  </si>
  <si>
    <t>Bellen</t>
  </si>
  <si>
    <t>Khawi</t>
  </si>
  <si>
    <t>Gigi</t>
  </si>
  <si>
    <t>Pham</t>
  </si>
  <si>
    <t>SWITCH(expression, value1, result1, [default_or_value2, results2], …)</t>
  </si>
  <si>
    <r>
      <t>Goal:</t>
    </r>
    <r>
      <rPr>
        <sz val="11"/>
        <color theme="1"/>
        <rFont val="Calibri"/>
        <family val="2"/>
        <scheme val="minor"/>
      </rPr>
      <t xml:space="preserve"> Lookup correct lookup table based on product name.</t>
    </r>
  </si>
  <si>
    <t>Use lookup table to perform "approximate match" lookup.</t>
  </si>
  <si>
    <r>
      <rPr>
        <b/>
        <sz val="11"/>
        <color theme="1"/>
        <rFont val="Calibri"/>
        <family val="2"/>
        <scheme val="minor"/>
      </rPr>
      <t>Situation #1</t>
    </r>
    <r>
      <rPr>
        <sz val="11"/>
        <color theme="1"/>
        <rFont val="Calibri"/>
        <family val="2"/>
        <scheme val="minor"/>
      </rPr>
      <t>:</t>
    </r>
  </si>
  <si>
    <r>
      <rPr>
        <b/>
        <sz val="11"/>
        <color theme="1"/>
        <rFont val="Calibri"/>
        <family val="2"/>
        <scheme val="minor"/>
      </rPr>
      <t>Situation #2</t>
    </r>
    <r>
      <rPr>
        <sz val="11"/>
        <color theme="1"/>
        <rFont val="Calibri"/>
        <family val="2"/>
        <scheme val="minor"/>
      </rPr>
      <t>:</t>
    </r>
  </si>
  <si>
    <t>Multiple lookup tables.</t>
  </si>
  <si>
    <t>One Lookup Table.</t>
  </si>
  <si>
    <t>Units Transaction Table:</t>
  </si>
  <si>
    <t>IFS (longer)</t>
  </si>
  <si>
    <t>SWITCH</t>
  </si>
  <si>
    <t>Use SWITCH.</t>
  </si>
  <si>
    <t>Use FILTER.</t>
  </si>
  <si>
    <t>Price
Discount</t>
  </si>
  <si>
    <t>P. Discount</t>
  </si>
  <si>
    <t>Default</t>
  </si>
  <si>
    <t>Advanced Spilled:</t>
  </si>
  <si>
    <t>Cell Phone Data Use (GB)</t>
  </si>
  <si>
    <t>Bonus Yes/No?</t>
  </si>
  <si>
    <t>Bonus Amount or zero</t>
  </si>
  <si>
    <t>Extra Charge or Under?</t>
  </si>
  <si>
    <t>Felipe Truscott</t>
  </si>
  <si>
    <t>Johnathan Godlewski</t>
  </si>
  <si>
    <t>Johnathan Iannone</t>
  </si>
  <si>
    <t>Bonus If Hurdle Surpassed</t>
  </si>
  <si>
    <t>Cathrine Beaston</t>
  </si>
  <si>
    <t>Damon Czyz</t>
  </si>
  <si>
    <t>Rudolph Seabaugh</t>
  </si>
  <si>
    <t>Felipe Gramling</t>
  </si>
  <si>
    <t>Cell phone contract reads: If data usage is less than 2.5 GB, there is no extra charge.</t>
  </si>
  <si>
    <t>Kelvin Likes</t>
  </si>
  <si>
    <t>Data Usage Hurdle in GB:</t>
  </si>
  <si>
    <t>Rudolph Niewiadomski</t>
  </si>
  <si>
    <t>Alton Berrey</t>
  </si>
  <si>
    <t>Shanda Bovard</t>
  </si>
  <si>
    <t>Bennie Margulies</t>
  </si>
  <si>
    <t>Lashawn Vicks</t>
  </si>
  <si>
    <t>Daniela Vadenais</t>
  </si>
  <si>
    <t>Geoffrey Kennebeck</t>
  </si>
  <si>
    <t>Lyn Glade</t>
  </si>
  <si>
    <t>Shanda Lorentzen</t>
  </si>
  <si>
    <t>Valencia Tenpenny</t>
  </si>
  <si>
    <t>Bella Wohlenhaus</t>
  </si>
  <si>
    <t>Adelina Fontenette</t>
  </si>
  <si>
    <r>
      <rPr>
        <b/>
        <sz val="11"/>
        <color theme="1"/>
        <rFont val="Calibri"/>
        <family val="2"/>
        <scheme val="minor"/>
      </rPr>
      <t>Goal:</t>
    </r>
    <r>
      <rPr>
        <sz val="11"/>
        <color theme="1"/>
        <rFont val="Calibri"/>
        <family val="2"/>
        <scheme val="minor"/>
      </rPr>
      <t xml:space="preserve"> Create Formula that runs a checkbook balance formula if a date is entered in the date column.</t>
    </r>
  </si>
  <si>
    <t>Use IF to deliver 1 of 2 items, either a formula or "" (show nothing - zero length text string).</t>
  </si>
  <si>
    <t>Create formula in cell G8 and then copy through range G8:G18.</t>
  </si>
  <si>
    <t>Spilled formula:</t>
  </si>
  <si>
    <t>Advanced Spilled formula:</t>
  </si>
  <si>
    <t>Dynamic Spilled Array</t>
  </si>
  <si>
    <t>Goal:</t>
  </si>
  <si>
    <t>For the two IF function formulas, the text values of 'Target Met' and 'No' will not change so you can hard code them into formula.</t>
  </si>
  <si>
    <t>Target</t>
  </si>
  <si>
    <t>Quarter</t>
  </si>
  <si>
    <t>Dept</t>
  </si>
  <si>
    <t>Class</t>
  </si>
  <si>
    <t>Student Cap</t>
  </si>
  <si>
    <t>Enrollment</t>
  </si>
  <si>
    <t>% Enrolled</t>
  </si>
  <si>
    <t>Met Target? T/F.</t>
  </si>
  <si>
    <t>Met Target? "Target Met"
or "No"</t>
  </si>
  <si>
    <t>Q1</t>
  </si>
  <si>
    <t>Math</t>
  </si>
  <si>
    <t>Busn 101</t>
  </si>
  <si>
    <t>Engl</t>
  </si>
  <si>
    <t>Busn 303</t>
  </si>
  <si>
    <t>Ast</t>
  </si>
  <si>
    <t>Busn 401</t>
  </si>
  <si>
    <t>Read</t>
  </si>
  <si>
    <t>Busn 107</t>
  </si>
  <si>
    <t>Q2</t>
  </si>
  <si>
    <t>Q3</t>
  </si>
  <si>
    <t>Q4</t>
  </si>
  <si>
    <t>Ex 9</t>
  </si>
  <si>
    <t>Ex 10</t>
  </si>
  <si>
    <t>Use IF Function in an Invoice</t>
  </si>
  <si>
    <t>IF with AND function</t>
  </si>
  <si>
    <t>IF with OR Function</t>
  </si>
  <si>
    <t>IFS function</t>
  </si>
  <si>
    <t>IFNA function</t>
  </si>
  <si>
    <t>IFERROR function</t>
  </si>
  <si>
    <t>Ex 11</t>
  </si>
  <si>
    <t>Ex 12</t>
  </si>
  <si>
    <t>IF Function to deliver one of two items</t>
  </si>
  <si>
    <t>saves calculation time and improves performance.</t>
  </si>
  <si>
    <t>Example 1:</t>
  </si>
  <si>
    <t>Your Sales ($)</t>
  </si>
  <si>
    <t>Bonus Hurdle ($)</t>
  </si>
  <si>
    <t>Condition:</t>
  </si>
  <si>
    <t>Example 3:</t>
  </si>
  <si>
    <t>Why is total incorrect?</t>
  </si>
  <si>
    <t>500</t>
  </si>
  <si>
    <t>Is Sales Value A Number?</t>
  </si>
  <si>
    <t>Example 2:</t>
  </si>
  <si>
    <t>Sales Last Year</t>
  </si>
  <si>
    <t>Customer</t>
  </si>
  <si>
    <t>Rating</t>
  </si>
  <si>
    <t>PCC</t>
  </si>
  <si>
    <t>Safeway</t>
  </si>
  <si>
    <t>QFC</t>
  </si>
  <si>
    <t>Credit Rating</t>
  </si>
  <si>
    <t>Pass Both Tests?</t>
  </si>
  <si>
    <t>Sales &gt;= Hurdle?</t>
  </si>
  <si>
    <t>Is the Data Type a Number?</t>
  </si>
  <si>
    <t>Are sales greater than or equal to the bonus hurdle?</t>
  </si>
  <si>
    <t>To earn credit, the customer must have last year sales of 1,000,000 or more</t>
  </si>
  <si>
    <t>AND have a credit rating of more than 4.</t>
  </si>
  <si>
    <t>Conditions:</t>
  </si>
  <si>
    <t>Example 4:</t>
  </si>
  <si>
    <t>Is the product a "Quad"?</t>
  </si>
  <si>
    <t>Product = "Quad"</t>
  </si>
  <si>
    <t>Condition</t>
  </si>
  <si>
    <t>quad</t>
  </si>
  <si>
    <t>Quad?</t>
  </si>
  <si>
    <t>Example 5:</t>
  </si>
  <si>
    <t>Number 1</t>
  </si>
  <si>
    <t>Number 2</t>
  </si>
  <si>
    <t>AND</t>
  </si>
  <si>
    <t>Are both numbers non-zeros?</t>
  </si>
  <si>
    <t>Number1&lt;&gt;0 AND Number2&lt;&gt;0</t>
  </si>
  <si>
    <t>Condition 1:</t>
  </si>
  <si>
    <t>Condition 2:</t>
  </si>
  <si>
    <t>Number1&lt;&gt;0</t>
  </si>
  <si>
    <t>Number2&lt;&gt;0</t>
  </si>
  <si>
    <t>Ex 13</t>
  </si>
  <si>
    <t>Ex 14</t>
  </si>
  <si>
    <t>Ex 15</t>
  </si>
  <si>
    <t>Ex 16</t>
  </si>
  <si>
    <t>Logical Test with NOT operator:</t>
  </si>
  <si>
    <t>Logical Test that uses numbers as TRUE or FALSE:</t>
  </si>
  <si>
    <t xml:space="preserve">You must get at least one TRUE, for the item to be included. </t>
  </si>
  <si>
    <t>COUNTIFS, SUMIFS and the like use "text" Comparative Operators:</t>
  </si>
  <si>
    <t>Count:</t>
  </si>
  <si>
    <t>How many sales are 50,000 or more?</t>
  </si>
  <si>
    <t>What happens if you add zero to the logical values?</t>
  </si>
  <si>
    <t>Add 0</t>
  </si>
  <si>
    <t>Add 0 to the logical values to convert to 1 and 0:</t>
  </si>
  <si>
    <t>Last Year Sales</t>
  </si>
  <si>
    <t>SW</t>
  </si>
  <si>
    <t>Last Year Sales &gt; 1,000,000 OR Credit Rating &gt;=4.</t>
  </si>
  <si>
    <t>Last Year Sales &gt;</t>
  </si>
  <si>
    <t>FM</t>
  </si>
  <si>
    <t>Credit Rating &gt;=</t>
  </si>
  <si>
    <t>WM</t>
  </si>
  <si>
    <t>L</t>
  </si>
  <si>
    <t>Credit?</t>
  </si>
  <si>
    <r>
      <t>Task</t>
    </r>
    <r>
      <rPr>
        <sz val="11"/>
        <color theme="1"/>
        <rFont val="Calibri"/>
        <family val="2"/>
        <scheme val="minor"/>
      </rPr>
      <t>: A company only extends credit to customers who have:</t>
    </r>
  </si>
  <si>
    <t>Bonus Amount ($)</t>
  </si>
  <si>
    <t>Your Bonus ($)</t>
  </si>
  <si>
    <t>Hurdle ($)</t>
  </si>
  <si>
    <t>Yes:</t>
  </si>
  <si>
    <t>No:</t>
  </si>
  <si>
    <t>Eligible</t>
  </si>
  <si>
    <t>MS 365 Excel Basics 05:
IF Function and Logical Test.
IFS, IFNA, OR, AND, ISNUMBER Functions &amp; More!</t>
  </si>
  <si>
    <t>$ Bonus?</t>
  </si>
  <si>
    <t>Track Down Error</t>
  </si>
  <si>
    <t>Customer Get Credit?</t>
  </si>
  <si>
    <t>Find Product</t>
  </si>
  <si>
    <t>Logic Simplicity</t>
  </si>
  <si>
    <t>Do Debits = Credits?</t>
  </si>
  <si>
    <t>Calculate Commission</t>
  </si>
  <si>
    <t>Invoicing</t>
  </si>
  <si>
    <t>IF and AND Functions</t>
  </si>
  <si>
    <t>IF and OR Functions</t>
  </si>
  <si>
    <t>Income Statement</t>
  </si>
  <si>
    <t>Show Formulas</t>
  </si>
  <si>
    <t>-</t>
  </si>
  <si>
    <t>2/21/2024</t>
  </si>
  <si>
    <t>2/14/2024</t>
  </si>
  <si>
    <t>2/25/2024</t>
  </si>
  <si>
    <t>2/3/2024</t>
  </si>
  <si>
    <t>2/22/2024</t>
  </si>
  <si>
    <t>2/28/2024</t>
  </si>
  <si>
    <t>2/1/2024</t>
  </si>
  <si>
    <t>2/19/2024</t>
  </si>
  <si>
    <t>2/29/2024</t>
  </si>
  <si>
    <t>2397.72</t>
  </si>
  <si>
    <t>831.47</t>
  </si>
  <si>
    <t>1027.7</t>
  </si>
  <si>
    <t>2340.61</t>
  </si>
  <si>
    <t>1739.27</t>
  </si>
  <si>
    <t>2134.72</t>
  </si>
  <si>
    <t>843.78</t>
  </si>
  <si>
    <t>1180.11</t>
  </si>
  <si>
    <t>285.44</t>
  </si>
  <si>
    <t>Month</t>
  </si>
  <si>
    <t>Start</t>
  </si>
  <si>
    <t>End</t>
  </si>
  <si>
    <t>Jan</t>
  </si>
  <si>
    <t>Feb</t>
  </si>
  <si>
    <t>Mar</t>
  </si>
  <si>
    <t>Total Sales ($)</t>
  </si>
  <si>
    <t>Text Dates?</t>
  </si>
  <si>
    <t>Text Numbers?</t>
  </si>
  <si>
    <t>Goals:</t>
  </si>
  <si>
    <t>Create a logical formula that tells you which rows in the below data set have text dates. Then create a second formula to tells you which rows have test sales values.</t>
  </si>
  <si>
    <t>Monthly Sales Report:</t>
  </si>
  <si>
    <t>You do not need to do anything with the Monthly Sales Report in the range H7:K10.</t>
  </si>
  <si>
    <t>If you would like to convert the text dates and sales values back to numbers, you can use an obscure trick to do it.</t>
  </si>
  <si>
    <t>This trick takes two clicks and will automatically re-import the values all as numbers:</t>
  </si>
  <si>
    <t>For Date column: 1) Select the range B12:B31, 2) Go to the Data Ribbon tab, Data Tools group and click the Text To Column button, 3) In the Text To Column dialog box, click the Finish button (Keyboard is Alt, A, E, F (hold Alt key down whole time)).</t>
  </si>
  <si>
    <t>For Sales Value column: 1) Select the range C12:C31, 2) Go to the Data Ribbon tab, Data Tools group and click the Text To Column button, 3) In the Text To Column dialog box, click the Finish button (Keyboard is Alt, A, E, F (hold Alt key down whole time)).</t>
  </si>
  <si>
    <t>Total Asset Value</t>
  </si>
  <si>
    <t>Get Credit?</t>
  </si>
  <si>
    <t>Fred Myer</t>
  </si>
  <si>
    <t>Walmart</t>
  </si>
  <si>
    <t>Sprouts</t>
  </si>
  <si>
    <t>Wholefoods</t>
  </si>
  <si>
    <t>Red Apple</t>
  </si>
  <si>
    <t>Munchies</t>
  </si>
  <si>
    <t>Credit Rating 1</t>
  </si>
  <si>
    <t>Late Payments</t>
  </si>
  <si>
    <t>In the Get Credit? Column, create two formulas that will put the word "Credit" in the cell when the customer has a</t>
  </si>
  <si>
    <t>Create on Dynamic Spilled Array Formula and one that uses the AND function.</t>
  </si>
  <si>
    <t>Create on Dynamic Spilled Array Formula and one that uses the OR function.</t>
  </si>
  <si>
    <r>
      <t>Goal 1:</t>
    </r>
    <r>
      <rPr>
        <sz val="11"/>
        <color theme="1"/>
        <rFont val="Calibri"/>
        <family val="2"/>
        <scheme val="minor"/>
      </rPr>
      <t xml:space="preserve"> Create formula to show "Credit" in each row where customer passes OR Logical Test.</t>
    </r>
  </si>
  <si>
    <t>Customers that Pass Neither Rule</t>
  </si>
  <si>
    <t>In the Get Credit? Columns, create two formulas that will put the word "Credit" in the cell when the customer has a</t>
  </si>
  <si>
    <t>Prove that "" is a Zero Length Text String:</t>
  </si>
  <si>
    <t>IFNA(value, value_if_na)</t>
  </si>
  <si>
    <r>
      <t>Goal:</t>
    </r>
    <r>
      <rPr>
        <sz val="13"/>
        <color theme="1"/>
        <rFont val="Calibri"/>
        <family val="2"/>
        <scheme val="minor"/>
      </rPr>
      <t xml:space="preserve"> show value or an alternative when an #N/A error occurs.</t>
    </r>
  </si>
  <si>
    <t>IFERROR(value, value_if_error)</t>
  </si>
  <si>
    <r>
      <t>Goal 2:</t>
    </r>
    <r>
      <rPr>
        <sz val="11"/>
        <color theme="1"/>
        <rFont val="Calibri"/>
        <family val="2"/>
        <scheme val="minor"/>
      </rPr>
      <t xml:space="preserve"> Create a formula that shows "None" in each row</t>
    </r>
  </si>
  <si>
    <t>if the customer does not pass either rule.</t>
  </si>
  <si>
    <t>MS 365 Excel Basics #5: IF Function &amp; Logical Test. IFS, IFNA, OR, AND, NOT, ISNUMBER Functions More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</si>
</sst>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quot;$&quot;#,##0.00"/>
    <numFmt numFmtId="166" formatCode="0.0"/>
    <numFmt numFmtId="167" formatCode="0.0%"/>
  </numFmts>
  <fonts count="2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3"/>
      <color theme="1"/>
      <name val="Calibri"/>
      <family val="2"/>
      <scheme val="minor"/>
    </font>
    <font>
      <b/>
      <sz val="13"/>
      <color theme="1"/>
      <name val="Calibri"/>
      <family val="2"/>
      <scheme val="minor"/>
    </font>
    <font>
      <sz val="16"/>
      <color theme="1"/>
      <name val="Calibri"/>
      <family val="2"/>
      <scheme val="minor"/>
    </font>
    <font>
      <i/>
      <sz val="11"/>
      <color theme="1"/>
      <name val="Calibri"/>
      <family val="2"/>
      <scheme val="minor"/>
    </font>
    <font>
      <b/>
      <sz val="14"/>
      <color theme="0"/>
      <name val="Calibri"/>
      <family val="2"/>
      <scheme val="minor"/>
    </font>
    <font>
      <b/>
      <sz val="26"/>
      <name val="Calibri"/>
      <family val="2"/>
      <scheme val="minor"/>
    </font>
    <font>
      <sz val="12"/>
      <color theme="1"/>
      <name val="Calibri"/>
      <family val="2"/>
      <scheme val="minor"/>
    </font>
    <font>
      <sz val="12"/>
      <color theme="0"/>
      <name val="Calibri"/>
      <family val="2"/>
      <scheme val="minor"/>
    </font>
    <font>
      <b/>
      <sz val="16"/>
      <color theme="1"/>
      <name val="Calibri"/>
      <family val="2"/>
      <scheme val="minor"/>
    </font>
    <font>
      <b/>
      <u/>
      <sz val="11"/>
      <color theme="1"/>
      <name val="Calibri"/>
      <family val="2"/>
      <scheme val="minor"/>
    </font>
    <font>
      <sz val="10"/>
      <name val="Arial"/>
      <family val="2"/>
    </font>
    <font>
      <sz val="10"/>
      <name val="Calibri"/>
      <family val="2"/>
      <scheme val="minor"/>
    </font>
    <font>
      <b/>
      <sz val="18"/>
      <color rgb="FF0000FF"/>
      <name val="Calibri"/>
      <family val="2"/>
      <scheme val="minor"/>
    </font>
    <font>
      <b/>
      <sz val="10"/>
      <name val="Calibri"/>
      <family val="2"/>
      <scheme val="minor"/>
    </font>
    <font>
      <sz val="10"/>
      <color theme="0"/>
      <name val="Calibri"/>
      <family val="2"/>
      <scheme val="minor"/>
    </font>
    <font>
      <b/>
      <sz val="11"/>
      <color rgb="FFFF0000"/>
      <name val="Calibri"/>
      <family val="2"/>
      <scheme val="minor"/>
    </font>
    <font>
      <u/>
      <sz val="11"/>
      <color theme="1"/>
      <name val="Calibri"/>
      <family val="2"/>
      <scheme val="minor"/>
    </font>
    <font>
      <sz val="15"/>
      <color theme="1"/>
      <name val="Calibri"/>
      <family val="2"/>
      <scheme val="minor"/>
    </font>
    <font>
      <sz val="10"/>
      <color theme="0"/>
      <name val="Arial"/>
      <family val="2"/>
    </font>
    <font>
      <sz val="7"/>
      <color rgb="FF333333"/>
      <name val="Verdana"/>
      <family val="2"/>
    </font>
    <font>
      <sz val="8"/>
      <name val="Calibri"/>
      <family val="2"/>
      <scheme val="minor"/>
    </font>
    <font>
      <b/>
      <sz val="14"/>
      <color theme="1"/>
      <name val="Calibri"/>
      <family val="2"/>
      <scheme val="minor"/>
    </font>
    <font>
      <b/>
      <sz val="10"/>
      <name val="Arial"/>
      <family val="2"/>
    </font>
  </fonts>
  <fills count="12">
    <fill>
      <patternFill patternType="none"/>
    </fill>
    <fill>
      <patternFill patternType="gray125"/>
    </fill>
    <fill>
      <patternFill patternType="solid">
        <fgColor theme="0" tint="-4.9989318521683403E-2"/>
        <bgColor indexed="64"/>
      </patternFill>
    </fill>
    <fill>
      <patternFill patternType="solid">
        <fgColor rgb="FF0070C0"/>
        <bgColor indexed="64"/>
      </patternFill>
    </fill>
    <fill>
      <patternFill patternType="solid">
        <fgColor theme="1"/>
        <bgColor indexed="64"/>
      </patternFill>
    </fill>
    <fill>
      <patternFill patternType="solid">
        <fgColor rgb="FFFF0000"/>
        <bgColor indexed="64"/>
      </patternFill>
    </fill>
    <fill>
      <patternFill patternType="solid">
        <fgColor rgb="FF002060"/>
        <bgColor indexed="64"/>
      </patternFill>
    </fill>
    <fill>
      <patternFill patternType="solid">
        <fgColor theme="4" tint="0.79998168889431442"/>
        <bgColor indexed="64"/>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theme="9" tint="0.79998168889431442"/>
        <bgColor indexed="64"/>
      </patternFill>
    </fill>
  </fills>
  <borders count="4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medium">
        <color theme="2" tint="-0.24994659260841701"/>
      </left>
      <right style="medium">
        <color theme="2" tint="-0.24994659260841701"/>
      </right>
      <top style="medium">
        <color theme="2" tint="-0.24994659260841701"/>
      </top>
      <bottom style="medium">
        <color theme="2" tint="-0.24994659260841701"/>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double">
        <color indexed="64"/>
      </bottom>
      <diagonal/>
    </border>
    <border>
      <left/>
      <right style="thin">
        <color indexed="64"/>
      </right>
      <top style="thin">
        <color indexed="64"/>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auto="1"/>
      </left>
      <right style="thin">
        <color theme="0"/>
      </right>
      <top style="thin">
        <color indexed="64"/>
      </top>
      <bottom style="thin">
        <color theme="0"/>
      </bottom>
      <diagonal/>
    </border>
    <border>
      <left style="thin">
        <color auto="1"/>
      </left>
      <right style="thin">
        <color theme="0"/>
      </right>
      <top style="thin">
        <color theme="0"/>
      </top>
      <bottom style="thin">
        <color indexed="64"/>
      </bottom>
      <diagonal/>
    </border>
    <border>
      <left style="thin">
        <color indexed="64"/>
      </left>
      <right style="thin">
        <color indexed="64"/>
      </right>
      <top/>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thin">
        <color auto="1"/>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style="thin">
        <color auto="1"/>
      </top>
      <bottom style="thin">
        <color auto="1"/>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5" fillId="0" borderId="0"/>
    <xf numFmtId="0" fontId="4" fillId="6" borderId="10">
      <alignment wrapText="1"/>
    </xf>
  </cellStyleXfs>
  <cellXfs count="160">
    <xf numFmtId="0" fontId="0" fillId="0" borderId="0" xfId="0"/>
    <xf numFmtId="0" fontId="0" fillId="0" borderId="4" xfId="0" applyBorder="1"/>
    <xf numFmtId="0" fontId="0" fillId="0" borderId="5" xfId="0" applyBorder="1"/>
    <xf numFmtId="0" fontId="7" fillId="2" borderId="6" xfId="0" applyFont="1" applyFill="1" applyBorder="1" applyAlignment="1">
      <alignment horizontal="center" vertical="center"/>
    </xf>
    <xf numFmtId="0" fontId="0" fillId="0" borderId="7" xfId="0" applyBorder="1"/>
    <xf numFmtId="0" fontId="0" fillId="0" borderId="8" xfId="0" applyBorder="1"/>
    <xf numFmtId="0" fontId="0" fillId="0" borderId="9" xfId="0" applyBorder="1"/>
    <xf numFmtId="0" fontId="3" fillId="0" borderId="0" xfId="0" applyFont="1"/>
    <xf numFmtId="0" fontId="0" fillId="0" borderId="0" xfId="0" applyAlignment="1">
      <alignment horizontal="left" indent="1"/>
    </xf>
    <xf numFmtId="0" fontId="0" fillId="0" borderId="0" xfId="0" applyAlignment="1">
      <alignment horizontal="left" indent="2"/>
    </xf>
    <xf numFmtId="0" fontId="9" fillId="3" borderId="10" xfId="0" applyFont="1" applyFill="1" applyBorder="1"/>
    <xf numFmtId="0" fontId="10" fillId="0" borderId="10" xfId="0" applyFont="1" applyBorder="1" applyAlignment="1">
      <alignment horizontal="center"/>
    </xf>
    <xf numFmtId="0" fontId="11" fillId="0" borderId="10" xfId="0" applyFont="1" applyBorder="1" applyAlignment="1">
      <alignment wrapText="1"/>
    </xf>
    <xf numFmtId="0" fontId="0" fillId="4" borderId="0" xfId="0" applyFill="1"/>
    <xf numFmtId="0" fontId="12" fillId="5" borderId="10" xfId="0" applyFont="1" applyFill="1" applyBorder="1"/>
    <xf numFmtId="0" fontId="11" fillId="0" borderId="10" xfId="0" applyFont="1" applyBorder="1"/>
    <xf numFmtId="0" fontId="4" fillId="6" borderId="10" xfId="0" applyFont="1" applyFill="1" applyBorder="1" applyAlignment="1">
      <alignment wrapText="1"/>
    </xf>
    <xf numFmtId="0" fontId="4" fillId="6" borderId="10" xfId="0" applyFont="1" applyFill="1" applyBorder="1"/>
    <xf numFmtId="0" fontId="0" fillId="0" borderId="10" xfId="0" applyBorder="1" applyAlignment="1">
      <alignment vertical="center"/>
    </xf>
    <xf numFmtId="0" fontId="0" fillId="7" borderId="10" xfId="0" applyFill="1" applyBorder="1"/>
    <xf numFmtId="0" fontId="0" fillId="0" borderId="10" xfId="0" applyBorder="1"/>
    <xf numFmtId="0" fontId="0" fillId="8" borderId="10" xfId="0" applyFill="1" applyBorder="1"/>
    <xf numFmtId="0" fontId="0" fillId="0" borderId="10" xfId="0" applyBorder="1" applyAlignment="1">
      <alignment vertical="center" wrapText="1"/>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0" xfId="0" applyAlignment="1">
      <alignment vertical="center"/>
    </xf>
    <xf numFmtId="0" fontId="13" fillId="9" borderId="16" xfId="0" applyFont="1" applyFill="1" applyBorder="1"/>
    <xf numFmtId="0" fontId="0" fillId="9" borderId="8" xfId="0" applyFill="1" applyBorder="1"/>
    <xf numFmtId="0" fontId="0" fillId="9" borderId="17" xfId="0" applyFill="1" applyBorder="1"/>
    <xf numFmtId="0" fontId="0" fillId="9" borderId="18" xfId="0" applyFill="1" applyBorder="1"/>
    <xf numFmtId="0" fontId="0" fillId="9" borderId="2" xfId="0" applyFill="1" applyBorder="1"/>
    <xf numFmtId="0" fontId="0" fillId="9" borderId="19" xfId="0" applyFill="1" applyBorder="1"/>
    <xf numFmtId="0" fontId="14" fillId="0" borderId="14" xfId="0" applyFont="1" applyBorder="1"/>
    <xf numFmtId="0" fontId="0" fillId="0" borderId="20" xfId="0" applyBorder="1"/>
    <xf numFmtId="0" fontId="0" fillId="0" borderId="21" xfId="0" applyBorder="1"/>
    <xf numFmtId="0" fontId="0" fillId="0" borderId="22" xfId="0" applyBorder="1"/>
    <xf numFmtId="0" fontId="0" fillId="9" borderId="14" xfId="0" applyFill="1" applyBorder="1"/>
    <xf numFmtId="0" fontId="0" fillId="9" borderId="0" xfId="0" applyFill="1"/>
    <xf numFmtId="0" fontId="0" fillId="9" borderId="15" xfId="0" applyFill="1" applyBorder="1"/>
    <xf numFmtId="0" fontId="16" fillId="0" borderId="0" xfId="4" applyFont="1"/>
    <xf numFmtId="0" fontId="17" fillId="0" borderId="0" xfId="4" applyFont="1"/>
    <xf numFmtId="0" fontId="1" fillId="0" borderId="0" xfId="0" applyFont="1"/>
    <xf numFmtId="0" fontId="18" fillId="0" borderId="0" xfId="4" applyFont="1"/>
    <xf numFmtId="0" fontId="19" fillId="6" borderId="10" xfId="4" applyFont="1" applyFill="1" applyBorder="1"/>
    <xf numFmtId="6" fontId="16" fillId="0" borderId="10" xfId="4" applyNumberFormat="1" applyFont="1" applyBorder="1"/>
    <xf numFmtId="0" fontId="19" fillId="6" borderId="10" xfId="4" applyFont="1" applyFill="1" applyBorder="1" applyAlignment="1">
      <alignment wrapText="1"/>
    </xf>
    <xf numFmtId="6" fontId="16" fillId="0" borderId="23" xfId="4" applyNumberFormat="1" applyFont="1" applyBorder="1"/>
    <xf numFmtId="0" fontId="16" fillId="8" borderId="10" xfId="4" applyFont="1" applyFill="1" applyBorder="1"/>
    <xf numFmtId="6" fontId="16" fillId="0" borderId="24" xfId="4" applyNumberFormat="1" applyFont="1" applyBorder="1"/>
    <xf numFmtId="14" fontId="0" fillId="0" borderId="10" xfId="0" applyNumberFormat="1" applyBorder="1"/>
    <xf numFmtId="44" fontId="0" fillId="0" borderId="10" xfId="2" applyFont="1" applyBorder="1"/>
    <xf numFmtId="44" fontId="0" fillId="8" borderId="10" xfId="2" applyFont="1" applyFill="1" applyBorder="1"/>
    <xf numFmtId="0" fontId="4" fillId="6" borderId="10" xfId="5">
      <alignment wrapText="1"/>
    </xf>
    <xf numFmtId="0" fontId="4" fillId="5" borderId="10" xfId="0" applyFont="1" applyFill="1" applyBorder="1"/>
    <xf numFmtId="0" fontId="4" fillId="5" borderId="10" xfId="0" applyFont="1" applyFill="1" applyBorder="1" applyAlignment="1">
      <alignment wrapText="1"/>
    </xf>
    <xf numFmtId="0" fontId="15" fillId="0" borderId="10" xfId="4" applyBorder="1"/>
    <xf numFmtId="43" fontId="0" fillId="8" borderId="10" xfId="0" applyNumberFormat="1" applyFill="1" applyBorder="1"/>
    <xf numFmtId="0" fontId="0" fillId="8" borderId="10" xfId="2" applyNumberFormat="1" applyFont="1" applyFill="1" applyBorder="1"/>
    <xf numFmtId="0" fontId="3" fillId="7" borderId="0" xfId="0" applyFont="1" applyFill="1" applyAlignment="1">
      <alignment horizontal="centerContinuous"/>
    </xf>
    <xf numFmtId="0" fontId="0" fillId="7" borderId="0" xfId="0" applyFill="1" applyAlignment="1">
      <alignment horizontal="centerContinuous"/>
    </xf>
    <xf numFmtId="0" fontId="0" fillId="0" borderId="0" xfId="0" applyAlignment="1">
      <alignment horizontal="right"/>
    </xf>
    <xf numFmtId="0" fontId="2" fillId="6" borderId="10" xfId="0" applyFont="1" applyFill="1" applyBorder="1"/>
    <xf numFmtId="0" fontId="2" fillId="6" borderId="10" xfId="0" applyFont="1" applyFill="1" applyBorder="1" applyAlignment="1">
      <alignment wrapText="1"/>
    </xf>
    <xf numFmtId="1" fontId="0" fillId="0" borderId="10" xfId="0" applyNumberFormat="1" applyBorder="1"/>
    <xf numFmtId="164" fontId="0" fillId="0" borderId="10" xfId="0" applyNumberFormat="1" applyBorder="1"/>
    <xf numFmtId="0" fontId="0" fillId="0" borderId="10" xfId="0" applyBorder="1" applyAlignment="1">
      <alignment horizontal="left" indent="1"/>
    </xf>
    <xf numFmtId="3" fontId="0" fillId="0" borderId="10" xfId="0" applyNumberFormat="1" applyBorder="1"/>
    <xf numFmtId="0" fontId="0" fillId="0" borderId="23" xfId="0" applyBorder="1" applyAlignment="1">
      <alignment horizontal="left" indent="1"/>
    </xf>
    <xf numFmtId="3" fontId="0" fillId="0" borderId="23" xfId="0" applyNumberFormat="1" applyBorder="1"/>
    <xf numFmtId="0" fontId="0" fillId="0" borderId="26" xfId="0" applyBorder="1"/>
    <xf numFmtId="164" fontId="0" fillId="11" borderId="26" xfId="0" applyNumberFormat="1" applyFill="1" applyBorder="1"/>
    <xf numFmtId="0" fontId="0" fillId="8" borderId="27" xfId="0" applyFill="1" applyBorder="1"/>
    <xf numFmtId="164" fontId="0" fillId="11" borderId="27" xfId="0" applyNumberFormat="1" applyFill="1" applyBorder="1"/>
    <xf numFmtId="165" fontId="0" fillId="8" borderId="10" xfId="0" applyNumberFormat="1" applyFill="1" applyBorder="1"/>
    <xf numFmtId="0" fontId="2" fillId="6" borderId="25" xfId="0" applyFont="1" applyFill="1" applyBorder="1"/>
    <xf numFmtId="166" fontId="0" fillId="0" borderId="10" xfId="0" applyNumberFormat="1" applyBorder="1"/>
    <xf numFmtId="2" fontId="0" fillId="0" borderId="25" xfId="0" applyNumberFormat="1" applyBorder="1"/>
    <xf numFmtId="2" fontId="0" fillId="0" borderId="10" xfId="0" applyNumberFormat="1" applyBorder="1"/>
    <xf numFmtId="2" fontId="0" fillId="0" borderId="28" xfId="0" applyNumberFormat="1" applyBorder="1"/>
    <xf numFmtId="0" fontId="15" fillId="0" borderId="10" xfId="1" applyNumberFormat="1" applyFont="1"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33" xfId="0" applyBorder="1"/>
    <xf numFmtId="0" fontId="2" fillId="5" borderId="10" xfId="0" applyFont="1" applyFill="1" applyBorder="1"/>
    <xf numFmtId="0" fontId="2" fillId="6" borderId="0" xfId="0" applyFont="1" applyFill="1"/>
    <xf numFmtId="0" fontId="0" fillId="8" borderId="28" xfId="0" applyFill="1" applyBorder="1"/>
    <xf numFmtId="0" fontId="22" fillId="2" borderId="36" xfId="0" applyFont="1" applyFill="1" applyBorder="1" applyAlignment="1">
      <alignment horizontal="left" indent="1"/>
    </xf>
    <xf numFmtId="0" fontId="0" fillId="2" borderId="37" xfId="0" applyFill="1" applyBorder="1"/>
    <xf numFmtId="0" fontId="0" fillId="2" borderId="38" xfId="0" applyFill="1" applyBorder="1"/>
    <xf numFmtId="0" fontId="0" fillId="0" borderId="39" xfId="0" applyBorder="1"/>
    <xf numFmtId="0" fontId="0" fillId="0" borderId="40" xfId="0" applyBorder="1"/>
    <xf numFmtId="0" fontId="0" fillId="0" borderId="41" xfId="0" applyBorder="1"/>
    <xf numFmtId="0" fontId="3" fillId="0" borderId="42" xfId="0" applyFont="1" applyBorder="1"/>
    <xf numFmtId="0" fontId="0" fillId="0" borderId="43" xfId="0" applyBorder="1"/>
    <xf numFmtId="0" fontId="3" fillId="0" borderId="43" xfId="0" applyFont="1" applyBorder="1"/>
    <xf numFmtId="0" fontId="0" fillId="0" borderId="44" xfId="0" applyBorder="1"/>
    <xf numFmtId="0" fontId="0" fillId="0" borderId="34" xfId="0" applyBorder="1"/>
    <xf numFmtId="9" fontId="0" fillId="0" borderId="10" xfId="0" applyNumberFormat="1" applyBorder="1"/>
    <xf numFmtId="0" fontId="3" fillId="0" borderId="10" xfId="0" applyFont="1" applyBorder="1"/>
    <xf numFmtId="0" fontId="15" fillId="0" borderId="0" xfId="4"/>
    <xf numFmtId="0" fontId="4" fillId="6" borderId="10" xfId="4" applyFont="1" applyFill="1" applyBorder="1" applyAlignment="1">
      <alignment wrapText="1"/>
    </xf>
    <xf numFmtId="0" fontId="23" fillId="6" borderId="10" xfId="4" applyFont="1" applyFill="1" applyBorder="1" applyAlignment="1">
      <alignment wrapText="1"/>
    </xf>
    <xf numFmtId="0" fontId="15" fillId="0" borderId="0" xfId="4" applyAlignment="1">
      <alignment wrapText="1"/>
    </xf>
    <xf numFmtId="6" fontId="15" fillId="0" borderId="10" xfId="4" applyNumberFormat="1" applyBorder="1"/>
    <xf numFmtId="0" fontId="15" fillId="8" borderId="10" xfId="4" applyFill="1" applyBorder="1"/>
    <xf numFmtId="8" fontId="15" fillId="8" borderId="10" xfId="4" applyNumberFormat="1" applyFill="1" applyBorder="1"/>
    <xf numFmtId="0" fontId="23" fillId="5" borderId="10" xfId="4" applyFont="1" applyFill="1" applyBorder="1"/>
    <xf numFmtId="8" fontId="15" fillId="0" borderId="10" xfId="4" applyNumberFormat="1" applyBorder="1"/>
    <xf numFmtId="0" fontId="23" fillId="5" borderId="10" xfId="4" applyFont="1" applyFill="1" applyBorder="1" applyAlignment="1">
      <alignment wrapText="1"/>
    </xf>
    <xf numFmtId="0" fontId="24" fillId="0" borderId="0" xfId="4" applyFont="1"/>
    <xf numFmtId="0" fontId="11" fillId="0" borderId="0" xfId="0" applyFont="1"/>
    <xf numFmtId="10" fontId="0" fillId="0" borderId="0" xfId="0" applyNumberFormat="1"/>
    <xf numFmtId="10" fontId="0" fillId="0" borderId="10" xfId="0" applyNumberFormat="1" applyBorder="1"/>
    <xf numFmtId="0" fontId="0" fillId="10" borderId="10" xfId="0" applyFill="1" applyBorder="1" applyAlignment="1">
      <alignment wrapText="1"/>
    </xf>
    <xf numFmtId="0" fontId="2" fillId="6" borderId="10" xfId="0" applyFont="1" applyFill="1" applyBorder="1" applyAlignment="1">
      <alignment horizontal="left"/>
    </xf>
    <xf numFmtId="0" fontId="2" fillId="6" borderId="10" xfId="0" applyFont="1" applyFill="1" applyBorder="1" applyAlignment="1">
      <alignment horizontal="left" wrapText="1"/>
    </xf>
    <xf numFmtId="167" fontId="0" fillId="11" borderId="10" xfId="3" applyNumberFormat="1" applyFont="1" applyFill="1" applyBorder="1"/>
    <xf numFmtId="0" fontId="5" fillId="0" borderId="0" xfId="0" applyFont="1"/>
    <xf numFmtId="0" fontId="0" fillId="10" borderId="10" xfId="0" applyFill="1" applyBorder="1"/>
    <xf numFmtId="10" fontId="0" fillId="11" borderId="10" xfId="3" applyNumberFormat="1" applyFont="1" applyFill="1" applyBorder="1"/>
    <xf numFmtId="0" fontId="0" fillId="0" borderId="0" xfId="0" applyAlignment="1">
      <alignment horizontal="left" indent="4"/>
    </xf>
    <xf numFmtId="3" fontId="16" fillId="0" borderId="10" xfId="4" applyNumberFormat="1" applyFont="1" applyBorder="1"/>
    <xf numFmtId="0" fontId="0" fillId="0" borderId="10" xfId="0" quotePrefix="1" applyBorder="1" applyAlignment="1">
      <alignment horizontal="right"/>
    </xf>
    <xf numFmtId="3" fontId="16" fillId="8" borderId="10" xfId="4" applyNumberFormat="1" applyFont="1" applyFill="1" applyBorder="1"/>
    <xf numFmtId="4" fontId="0" fillId="0" borderId="10" xfId="0" applyNumberFormat="1" applyBorder="1"/>
    <xf numFmtId="4" fontId="15" fillId="0" borderId="10" xfId="1" applyNumberFormat="1" applyFont="1" applyBorder="1"/>
    <xf numFmtId="0" fontId="0" fillId="0" borderId="25" xfId="0" applyBorder="1"/>
    <xf numFmtId="0" fontId="0" fillId="0" borderId="45" xfId="0" applyBorder="1"/>
    <xf numFmtId="0" fontId="0" fillId="0" borderId="28" xfId="0" applyBorder="1"/>
    <xf numFmtId="0" fontId="0" fillId="0" borderId="45" xfId="0" applyBorder="1" applyAlignment="1">
      <alignment horizontal="left" indent="1"/>
    </xf>
    <xf numFmtId="14" fontId="0" fillId="0" borderId="10" xfId="0" quotePrefix="1" applyNumberFormat="1" applyBorder="1" applyAlignment="1">
      <alignment horizontal="right"/>
    </xf>
    <xf numFmtId="14" fontId="0" fillId="0" borderId="10" xfId="0" applyNumberFormat="1" applyBorder="1" applyAlignment="1">
      <alignment horizontal="right"/>
    </xf>
    <xf numFmtId="0" fontId="0" fillId="0" borderId="10" xfId="0" applyBorder="1" applyAlignment="1">
      <alignment horizontal="right"/>
    </xf>
    <xf numFmtId="4" fontId="0" fillId="8" borderId="10" xfId="0" applyNumberFormat="1" applyFill="1" applyBorder="1"/>
    <xf numFmtId="0" fontId="27" fillId="0" borderId="0" xfId="4" applyFont="1" applyAlignment="1">
      <alignment vertical="center"/>
    </xf>
    <xf numFmtId="0" fontId="27" fillId="0" borderId="0" xfId="4" applyFont="1" applyAlignment="1">
      <alignment horizontal="center" vertical="center"/>
    </xf>
    <xf numFmtId="0" fontId="15" fillId="0" borderId="10" xfId="4" applyBorder="1" applyAlignment="1">
      <alignment wrapText="1"/>
    </xf>
    <xf numFmtId="0" fontId="0" fillId="0" borderId="0" xfId="0" applyAlignment="1">
      <alignment horizontal="left" indent="5"/>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center" vertical="center"/>
    </xf>
    <xf numFmtId="0" fontId="26" fillId="0" borderId="11" xfId="0" applyFont="1" applyBorder="1" applyAlignment="1">
      <alignment horizontal="center" wrapText="1"/>
    </xf>
    <xf numFmtId="0" fontId="26" fillId="0" borderId="13" xfId="0" applyFont="1" applyBorder="1" applyAlignment="1">
      <alignment horizontal="center" wrapText="1"/>
    </xf>
    <xf numFmtId="0" fontId="26" fillId="0" borderId="14" xfId="0" applyFont="1" applyBorder="1" applyAlignment="1">
      <alignment horizontal="center" wrapText="1"/>
    </xf>
    <xf numFmtId="0" fontId="26" fillId="0" borderId="15" xfId="0" applyFont="1" applyBorder="1" applyAlignment="1">
      <alignment horizontal="center" wrapText="1"/>
    </xf>
    <xf numFmtId="0" fontId="26" fillId="0" borderId="20" xfId="0" applyFont="1" applyBorder="1" applyAlignment="1">
      <alignment horizontal="center" wrapText="1"/>
    </xf>
    <xf numFmtId="0" fontId="26" fillId="0" borderId="22" xfId="0" applyFont="1" applyBorder="1" applyAlignment="1">
      <alignment horizontal="center" wrapText="1"/>
    </xf>
    <xf numFmtId="0" fontId="9" fillId="3" borderId="10" xfId="0" applyFont="1" applyFill="1" applyBorder="1" applyAlignment="1">
      <alignment horizontal="center" vertical="center" wrapText="1"/>
    </xf>
    <xf numFmtId="0" fontId="6" fillId="0" borderId="5" xfId="0" applyFont="1" applyBorder="1" applyAlignment="1">
      <alignment horizontal="center" vertical="center"/>
    </xf>
    <xf numFmtId="0" fontId="3" fillId="0" borderId="35" xfId="0" applyFont="1" applyBorder="1" applyAlignment="1">
      <alignment horizontal="center" vertical="center"/>
    </xf>
    <xf numFmtId="0" fontId="5" fillId="0" borderId="0" xfId="0" applyFont="1" applyAlignment="1">
      <alignment horizontal="left" wrapText="1"/>
    </xf>
    <xf numFmtId="0" fontId="5" fillId="0" borderId="0" xfId="0" applyFont="1" applyAlignment="1">
      <alignment horizontal="left" wrapText="1" indent="4"/>
    </xf>
  </cellXfs>
  <cellStyles count="6">
    <cellStyle name="blue" xfId="5" xr:uid="{0F89DEC7-853A-462B-AAA7-124A225A1CD6}"/>
    <cellStyle name="Comma" xfId="1" builtinId="3"/>
    <cellStyle name="Currency" xfId="2" builtinId="4"/>
    <cellStyle name="Normal" xfId="0" builtinId="0"/>
    <cellStyle name="Normal 2" xfId="4" xr:uid="{6A5090E9-82B4-4BCB-BE34-0AC1A6155D4C}"/>
    <cellStyle name="Percent" xfId="3" builtinId="5"/>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FF"/>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2.jpg"/></Relationships>
</file>

<file path=xl/drawings/_rels/drawing9.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2</xdr:col>
      <xdr:colOff>3848793</xdr:colOff>
      <xdr:row>10</xdr:row>
      <xdr:rowOff>259495</xdr:rowOff>
    </xdr:from>
    <xdr:ext cx="161232" cy="350104"/>
    <xdr:cxnSp macro="">
      <xdr:nvCxnSpPr>
        <xdr:cNvPr id="8" name="Straight Arrow Connector 7">
          <a:extLst>
            <a:ext uri="{FF2B5EF4-FFF2-40B4-BE49-F238E27FC236}">
              <a16:creationId xmlns:a16="http://schemas.microsoft.com/office/drawing/2014/main" id="{F2822287-96F7-44C2-BA2F-F790603098BD}"/>
            </a:ext>
          </a:extLst>
        </xdr:cNvPr>
        <xdr:cNvCxnSpPr/>
      </xdr:nvCxnSpPr>
      <xdr:spPr>
        <a:xfrm flipH="1" flipV="1">
          <a:off x="4267893" y="1120555"/>
          <a:ext cx="161232" cy="350104"/>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2185987</xdr:colOff>
      <xdr:row>10</xdr:row>
      <xdr:rowOff>269077</xdr:rowOff>
    </xdr:from>
    <xdr:ext cx="149260" cy="350046"/>
    <xdr:cxnSp macro="">
      <xdr:nvCxnSpPr>
        <xdr:cNvPr id="9" name="Straight Arrow Connector 8">
          <a:extLst>
            <a:ext uri="{FF2B5EF4-FFF2-40B4-BE49-F238E27FC236}">
              <a16:creationId xmlns:a16="http://schemas.microsoft.com/office/drawing/2014/main" id="{D667B1BF-D7E8-46F6-AAF6-0C66466E89D8}"/>
            </a:ext>
          </a:extLst>
        </xdr:cNvPr>
        <xdr:cNvCxnSpPr/>
      </xdr:nvCxnSpPr>
      <xdr:spPr>
        <a:xfrm flipV="1">
          <a:off x="2605087" y="1130137"/>
          <a:ext cx="149260" cy="350046"/>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1008890</xdr:colOff>
      <xdr:row>7</xdr:row>
      <xdr:rowOff>133352</xdr:rowOff>
    </xdr:from>
    <xdr:ext cx="5522" cy="451084"/>
    <xdr:cxnSp macro="">
      <xdr:nvCxnSpPr>
        <xdr:cNvPr id="10" name="Straight Arrow Connector 9">
          <a:extLst>
            <a:ext uri="{FF2B5EF4-FFF2-40B4-BE49-F238E27FC236}">
              <a16:creationId xmlns:a16="http://schemas.microsoft.com/office/drawing/2014/main" id="{C4B2C5DF-0AE2-4078-8EA9-F2491FF2AEAD}"/>
            </a:ext>
          </a:extLst>
        </xdr:cNvPr>
        <xdr:cNvCxnSpPr/>
      </xdr:nvCxnSpPr>
      <xdr:spPr>
        <a:xfrm flipH="1">
          <a:off x="1427990" y="438152"/>
          <a:ext cx="5522" cy="451084"/>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14287</xdr:colOff>
      <xdr:row>6</xdr:row>
      <xdr:rowOff>100014</xdr:rowOff>
    </xdr:from>
    <xdr:ext cx="2533649" cy="487286"/>
    <xdr:sp macro="" textlink="">
      <xdr:nvSpPr>
        <xdr:cNvPr id="11" name="Rectangle 10">
          <a:extLst>
            <a:ext uri="{FF2B5EF4-FFF2-40B4-BE49-F238E27FC236}">
              <a16:creationId xmlns:a16="http://schemas.microsoft.com/office/drawing/2014/main" id="{DB2C321D-FEA1-4BB7-9677-6A7EB29D5775}"/>
            </a:ext>
          </a:extLst>
        </xdr:cNvPr>
        <xdr:cNvSpPr/>
      </xdr:nvSpPr>
      <xdr:spPr>
        <a:xfrm>
          <a:off x="433387" y="282894"/>
          <a:ext cx="2533649" cy="48728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logical_test</a:t>
          </a:r>
          <a:r>
            <a:rPr lang="en-US" sz="1100">
              <a:solidFill>
                <a:schemeClr val="tx1"/>
              </a:solidFill>
              <a:latin typeface="+mn-lt"/>
            </a:rPr>
            <a:t> argument = Contains a single logical test or an array logical test</a:t>
          </a:r>
        </a:p>
      </xdr:txBody>
    </xdr:sp>
    <xdr:clientData/>
  </xdr:oneCellAnchor>
  <xdr:oneCellAnchor>
    <xdr:from>
      <xdr:col>2</xdr:col>
      <xdr:colOff>9510</xdr:colOff>
      <xdr:row>12</xdr:row>
      <xdr:rowOff>41420</xdr:rowOff>
    </xdr:from>
    <xdr:ext cx="2209933" cy="694304"/>
    <xdr:sp macro="" textlink="">
      <xdr:nvSpPr>
        <xdr:cNvPr id="12" name="Rectangle 11">
          <a:extLst>
            <a:ext uri="{FF2B5EF4-FFF2-40B4-BE49-F238E27FC236}">
              <a16:creationId xmlns:a16="http://schemas.microsoft.com/office/drawing/2014/main" id="{8F1F5BFD-F519-43D5-960E-AA4B65C344F6}"/>
            </a:ext>
          </a:extLst>
        </xdr:cNvPr>
        <xdr:cNvSpPr/>
      </xdr:nvSpPr>
      <xdr:spPr>
        <a:xfrm>
          <a:off x="428610" y="1359680"/>
          <a:ext cx="2209933" cy="69430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value_if_true</a:t>
          </a:r>
          <a:r>
            <a:rPr lang="en-US" sz="1100">
              <a:solidFill>
                <a:schemeClr val="tx1"/>
              </a:solidFill>
              <a:latin typeface="+mn-lt"/>
            </a:rPr>
            <a:t> argument = This is the value that is delivered if the logical test evaluates to TRUE.</a:t>
          </a:r>
          <a:endParaRPr lang="en-US" sz="1100" baseline="0">
            <a:solidFill>
              <a:schemeClr val="tx1"/>
            </a:solidFill>
            <a:latin typeface="+mn-lt"/>
          </a:endParaRPr>
        </a:p>
      </xdr:txBody>
    </xdr:sp>
    <xdr:clientData/>
  </xdr:oneCellAnchor>
  <xdr:oneCellAnchor>
    <xdr:from>
      <xdr:col>2</xdr:col>
      <xdr:colOff>2608274</xdr:colOff>
      <xdr:row>12</xdr:row>
      <xdr:rowOff>47625</xdr:rowOff>
    </xdr:from>
    <xdr:ext cx="2205300" cy="697624"/>
    <xdr:sp macro="" textlink="">
      <xdr:nvSpPr>
        <xdr:cNvPr id="13" name="Rectangle 12">
          <a:extLst>
            <a:ext uri="{FF2B5EF4-FFF2-40B4-BE49-F238E27FC236}">
              <a16:creationId xmlns:a16="http://schemas.microsoft.com/office/drawing/2014/main" id="{1D0BAFA2-BC41-43D5-A181-A6E04992BDD8}"/>
            </a:ext>
          </a:extLst>
        </xdr:cNvPr>
        <xdr:cNvSpPr/>
      </xdr:nvSpPr>
      <xdr:spPr>
        <a:xfrm>
          <a:off x="3027374" y="1365885"/>
          <a:ext cx="2205300" cy="69762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[value_if_false]</a:t>
          </a:r>
          <a:r>
            <a:rPr lang="en-US" sz="1100">
              <a:solidFill>
                <a:schemeClr val="tx1"/>
              </a:solidFill>
              <a:latin typeface="+mn-lt"/>
            </a:rPr>
            <a:t> argument = This is the value that is delivered if the logical test evaluates to FALSE</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3848793</xdr:colOff>
      <xdr:row>5</xdr:row>
      <xdr:rowOff>259495</xdr:rowOff>
    </xdr:from>
    <xdr:ext cx="161232" cy="350104"/>
    <xdr:cxnSp macro="">
      <xdr:nvCxnSpPr>
        <xdr:cNvPr id="2" name="Straight Arrow Connector 1">
          <a:extLst>
            <a:ext uri="{FF2B5EF4-FFF2-40B4-BE49-F238E27FC236}">
              <a16:creationId xmlns:a16="http://schemas.microsoft.com/office/drawing/2014/main" id="{E89CE0A4-476D-4371-B929-89BF4210B5B2}"/>
            </a:ext>
          </a:extLst>
        </xdr:cNvPr>
        <xdr:cNvCxnSpPr/>
      </xdr:nvCxnSpPr>
      <xdr:spPr>
        <a:xfrm flipH="1" flipV="1">
          <a:off x="1829493" y="1280575"/>
          <a:ext cx="161232" cy="350104"/>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2185987</xdr:colOff>
      <xdr:row>5</xdr:row>
      <xdr:rowOff>269077</xdr:rowOff>
    </xdr:from>
    <xdr:ext cx="149260" cy="350046"/>
    <xdr:cxnSp macro="">
      <xdr:nvCxnSpPr>
        <xdr:cNvPr id="3" name="Straight Arrow Connector 2">
          <a:extLst>
            <a:ext uri="{FF2B5EF4-FFF2-40B4-BE49-F238E27FC236}">
              <a16:creationId xmlns:a16="http://schemas.microsoft.com/office/drawing/2014/main" id="{9BC8E2B0-A6FA-4D31-9E09-81F135C4154A}"/>
            </a:ext>
          </a:extLst>
        </xdr:cNvPr>
        <xdr:cNvCxnSpPr/>
      </xdr:nvCxnSpPr>
      <xdr:spPr>
        <a:xfrm flipV="1">
          <a:off x="1827847" y="1282537"/>
          <a:ext cx="149260" cy="350046"/>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1008890</xdr:colOff>
      <xdr:row>2</xdr:row>
      <xdr:rowOff>133352</xdr:rowOff>
    </xdr:from>
    <xdr:ext cx="5522" cy="451084"/>
    <xdr:cxnSp macro="">
      <xdr:nvCxnSpPr>
        <xdr:cNvPr id="4" name="Straight Arrow Connector 3">
          <a:extLst>
            <a:ext uri="{FF2B5EF4-FFF2-40B4-BE49-F238E27FC236}">
              <a16:creationId xmlns:a16="http://schemas.microsoft.com/office/drawing/2014/main" id="{CDFABCD7-D2B9-413F-B66D-4F1D024092EF}"/>
            </a:ext>
          </a:extLst>
        </xdr:cNvPr>
        <xdr:cNvCxnSpPr/>
      </xdr:nvCxnSpPr>
      <xdr:spPr>
        <a:xfrm flipH="1">
          <a:off x="1831850" y="681992"/>
          <a:ext cx="5522" cy="451084"/>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14287</xdr:colOff>
      <xdr:row>1</xdr:row>
      <xdr:rowOff>100014</xdr:rowOff>
    </xdr:from>
    <xdr:ext cx="2533649" cy="487286"/>
    <xdr:sp macro="" textlink="">
      <xdr:nvSpPr>
        <xdr:cNvPr id="5" name="Rectangle 4">
          <a:extLst>
            <a:ext uri="{FF2B5EF4-FFF2-40B4-BE49-F238E27FC236}">
              <a16:creationId xmlns:a16="http://schemas.microsoft.com/office/drawing/2014/main" id="{235993F7-3258-415B-AB86-30BFEF789D6D}"/>
            </a:ext>
          </a:extLst>
        </xdr:cNvPr>
        <xdr:cNvSpPr/>
      </xdr:nvSpPr>
      <xdr:spPr>
        <a:xfrm>
          <a:off x="1233487" y="465774"/>
          <a:ext cx="2533649" cy="48728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logical_test</a:t>
          </a:r>
          <a:r>
            <a:rPr lang="en-US" sz="1100">
              <a:solidFill>
                <a:schemeClr val="tx1"/>
              </a:solidFill>
              <a:latin typeface="+mn-lt"/>
            </a:rPr>
            <a:t> argument = Contains a single logical test or an array logical test</a:t>
          </a:r>
        </a:p>
      </xdr:txBody>
    </xdr:sp>
    <xdr:clientData/>
  </xdr:oneCellAnchor>
  <xdr:oneCellAnchor>
    <xdr:from>
      <xdr:col>2</xdr:col>
      <xdr:colOff>9510</xdr:colOff>
      <xdr:row>7</xdr:row>
      <xdr:rowOff>41420</xdr:rowOff>
    </xdr:from>
    <xdr:ext cx="2209933" cy="694304"/>
    <xdr:sp macro="" textlink="">
      <xdr:nvSpPr>
        <xdr:cNvPr id="6" name="Rectangle 5">
          <a:extLst>
            <a:ext uri="{FF2B5EF4-FFF2-40B4-BE49-F238E27FC236}">
              <a16:creationId xmlns:a16="http://schemas.microsoft.com/office/drawing/2014/main" id="{46AF7391-4DF9-471B-AA6B-FEF8FF4DB91B}"/>
            </a:ext>
          </a:extLst>
        </xdr:cNvPr>
        <xdr:cNvSpPr/>
      </xdr:nvSpPr>
      <xdr:spPr>
        <a:xfrm>
          <a:off x="1228710" y="1504460"/>
          <a:ext cx="2209933" cy="69430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value_if_true</a:t>
          </a:r>
          <a:r>
            <a:rPr lang="en-US" sz="1100">
              <a:solidFill>
                <a:schemeClr val="tx1"/>
              </a:solidFill>
              <a:latin typeface="+mn-lt"/>
            </a:rPr>
            <a:t> argument = This is the value that is delivered if the logical test evaluates to TRUE.</a:t>
          </a:r>
          <a:endParaRPr lang="en-US" sz="1100" baseline="0">
            <a:solidFill>
              <a:schemeClr val="tx1"/>
            </a:solidFill>
            <a:latin typeface="+mn-lt"/>
          </a:endParaRPr>
        </a:p>
      </xdr:txBody>
    </xdr:sp>
    <xdr:clientData/>
  </xdr:oneCellAnchor>
  <xdr:oneCellAnchor>
    <xdr:from>
      <xdr:col>2</xdr:col>
      <xdr:colOff>2608274</xdr:colOff>
      <xdr:row>7</xdr:row>
      <xdr:rowOff>47625</xdr:rowOff>
    </xdr:from>
    <xdr:ext cx="2205300" cy="697624"/>
    <xdr:sp macro="" textlink="">
      <xdr:nvSpPr>
        <xdr:cNvPr id="7" name="Rectangle 6">
          <a:extLst>
            <a:ext uri="{FF2B5EF4-FFF2-40B4-BE49-F238E27FC236}">
              <a16:creationId xmlns:a16="http://schemas.microsoft.com/office/drawing/2014/main" id="{490B5143-0420-43F3-8654-BEC3C1B859AD}"/>
            </a:ext>
          </a:extLst>
        </xdr:cNvPr>
        <xdr:cNvSpPr/>
      </xdr:nvSpPr>
      <xdr:spPr>
        <a:xfrm>
          <a:off x="1831034" y="1510665"/>
          <a:ext cx="2205300" cy="69762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[value_if_false]</a:t>
          </a:r>
          <a:r>
            <a:rPr lang="en-US" sz="1100">
              <a:solidFill>
                <a:schemeClr val="tx1"/>
              </a:solidFill>
              <a:latin typeface="+mn-lt"/>
            </a:rPr>
            <a:t> argument = This is the value that is delivered if the logical test evaluates to FALSE</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2</xdr:col>
      <xdr:colOff>1770890</xdr:colOff>
      <xdr:row>2</xdr:row>
      <xdr:rowOff>133353</xdr:rowOff>
    </xdr:from>
    <xdr:to>
      <xdr:col>2</xdr:col>
      <xdr:colOff>1776412</xdr:colOff>
      <xdr:row>5</xdr:row>
      <xdr:rowOff>27389</xdr:rowOff>
    </xdr:to>
    <xdr:cxnSp macro="">
      <xdr:nvCxnSpPr>
        <xdr:cNvPr id="2" name="Straight Arrow Connector 1">
          <a:extLst>
            <a:ext uri="{FF2B5EF4-FFF2-40B4-BE49-F238E27FC236}">
              <a16:creationId xmlns:a16="http://schemas.microsoft.com/office/drawing/2014/main" id="{8C5DF834-D4EA-4352-A7B1-E0AE1EEAFC15}"/>
            </a:ext>
          </a:extLst>
        </xdr:cNvPr>
        <xdr:cNvCxnSpPr/>
      </xdr:nvCxnSpPr>
      <xdr:spPr>
        <a:xfrm flipH="1">
          <a:off x="2189990" y="369573"/>
          <a:ext cx="5522" cy="450296"/>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6627</xdr:colOff>
      <xdr:row>2</xdr:row>
      <xdr:rowOff>99849</xdr:rowOff>
    </xdr:from>
    <xdr:to>
      <xdr:col>3</xdr:col>
      <xdr:colOff>6626</xdr:colOff>
      <xdr:row>4</xdr:row>
      <xdr:rowOff>14487</xdr:rowOff>
    </xdr:to>
    <xdr:sp macro="" textlink="">
      <xdr:nvSpPr>
        <xdr:cNvPr id="3" name="Rectangle 2">
          <a:extLst>
            <a:ext uri="{FF2B5EF4-FFF2-40B4-BE49-F238E27FC236}">
              <a16:creationId xmlns:a16="http://schemas.microsoft.com/office/drawing/2014/main" id="{6ACD721F-FECA-49C7-9858-6FE9E4D20D41}"/>
            </a:ext>
          </a:extLst>
        </xdr:cNvPr>
        <xdr:cNvSpPr/>
      </xdr:nvSpPr>
      <xdr:spPr>
        <a:xfrm>
          <a:off x="425727" y="336069"/>
          <a:ext cx="4198619" cy="28039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logical1, [logical2],...</a:t>
          </a:r>
          <a:r>
            <a:rPr lang="en-US" sz="1100">
              <a:solidFill>
                <a:schemeClr val="tx1"/>
              </a:solidFill>
              <a:latin typeface="+mn-lt"/>
            </a:rPr>
            <a:t> arguments = Each contains a single logical test.</a:t>
          </a:r>
          <a:r>
            <a:rPr lang="en-US" sz="1100" baseline="0">
              <a:solidFill>
                <a:schemeClr val="tx1"/>
              </a:solidFill>
              <a:latin typeface="+mn-lt"/>
            </a:rPr>
            <a:t> </a:t>
          </a:r>
          <a:endParaRPr lang="en-US" sz="1100">
            <a:solidFill>
              <a:schemeClr val="tx1"/>
            </a:solidFill>
            <a:latin typeface="+mn-lt"/>
          </a:endParaRPr>
        </a:p>
      </xdr:txBody>
    </xdr:sp>
    <xdr:clientData/>
  </xdr:twoCellAnchor>
  <xdr:oneCellAnchor>
    <xdr:from>
      <xdr:col>2</xdr:col>
      <xdr:colOff>1770890</xdr:colOff>
      <xdr:row>10</xdr:row>
      <xdr:rowOff>133353</xdr:rowOff>
    </xdr:from>
    <xdr:ext cx="5522" cy="451084"/>
    <xdr:cxnSp macro="">
      <xdr:nvCxnSpPr>
        <xdr:cNvPr id="4" name="Straight Arrow Connector 3">
          <a:extLst>
            <a:ext uri="{FF2B5EF4-FFF2-40B4-BE49-F238E27FC236}">
              <a16:creationId xmlns:a16="http://schemas.microsoft.com/office/drawing/2014/main" id="{B977D8C8-8CB7-454D-A83E-2B4CE2B0BB06}"/>
            </a:ext>
          </a:extLst>
        </xdr:cNvPr>
        <xdr:cNvCxnSpPr/>
      </xdr:nvCxnSpPr>
      <xdr:spPr>
        <a:xfrm flipH="1">
          <a:off x="2189990" y="1908813"/>
          <a:ext cx="5522" cy="451084"/>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13254</xdr:colOff>
      <xdr:row>10</xdr:row>
      <xdr:rowOff>99849</xdr:rowOff>
    </xdr:from>
    <xdr:ext cx="4187686" cy="282500"/>
    <xdr:sp macro="" textlink="">
      <xdr:nvSpPr>
        <xdr:cNvPr id="5" name="Rectangle 4">
          <a:extLst>
            <a:ext uri="{FF2B5EF4-FFF2-40B4-BE49-F238E27FC236}">
              <a16:creationId xmlns:a16="http://schemas.microsoft.com/office/drawing/2014/main" id="{2976E62E-B179-4889-8DF4-EFC0F124FD04}"/>
            </a:ext>
          </a:extLst>
        </xdr:cNvPr>
        <xdr:cNvSpPr/>
      </xdr:nvSpPr>
      <xdr:spPr>
        <a:xfrm>
          <a:off x="432354" y="1875309"/>
          <a:ext cx="4187686" cy="282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logical1, [logical2],...</a:t>
          </a:r>
          <a:r>
            <a:rPr lang="en-US" sz="1100">
              <a:solidFill>
                <a:schemeClr val="tx1"/>
              </a:solidFill>
              <a:latin typeface="+mn-lt"/>
            </a:rPr>
            <a:t> arguments = Each contains a single logical test.</a:t>
          </a:r>
          <a:r>
            <a:rPr lang="en-US" sz="1100" baseline="0">
              <a:solidFill>
                <a:schemeClr val="tx1"/>
              </a:solidFill>
              <a:latin typeface="+mn-lt"/>
            </a:rPr>
            <a:t> </a:t>
          </a:r>
          <a:endParaRPr lang="en-US" sz="1100">
            <a:solidFill>
              <a:schemeClr val="tx1"/>
            </a:solidFill>
            <a:latin typeface="+mn-lt"/>
          </a:endParaRPr>
        </a:p>
      </xdr:txBody>
    </xdr:sp>
    <xdr:clientData/>
  </xdr:oneCellAnchor>
  <xdr:oneCellAnchor>
    <xdr:from>
      <xdr:col>2</xdr:col>
      <xdr:colOff>1770890</xdr:colOff>
      <xdr:row>18</xdr:row>
      <xdr:rowOff>133353</xdr:rowOff>
    </xdr:from>
    <xdr:ext cx="5522" cy="451084"/>
    <xdr:cxnSp macro="">
      <xdr:nvCxnSpPr>
        <xdr:cNvPr id="6" name="Straight Arrow Connector 5">
          <a:extLst>
            <a:ext uri="{FF2B5EF4-FFF2-40B4-BE49-F238E27FC236}">
              <a16:creationId xmlns:a16="http://schemas.microsoft.com/office/drawing/2014/main" id="{94CFB83F-51E0-46E5-A734-232FDE16289D}"/>
            </a:ext>
          </a:extLst>
        </xdr:cNvPr>
        <xdr:cNvCxnSpPr/>
      </xdr:nvCxnSpPr>
      <xdr:spPr>
        <a:xfrm flipH="1">
          <a:off x="2189990" y="3409953"/>
          <a:ext cx="5522" cy="451084"/>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13254</xdr:colOff>
      <xdr:row>18</xdr:row>
      <xdr:rowOff>99849</xdr:rowOff>
    </xdr:from>
    <xdr:ext cx="4187686" cy="282500"/>
    <xdr:sp macro="" textlink="">
      <xdr:nvSpPr>
        <xdr:cNvPr id="7" name="Rectangle 6">
          <a:extLst>
            <a:ext uri="{FF2B5EF4-FFF2-40B4-BE49-F238E27FC236}">
              <a16:creationId xmlns:a16="http://schemas.microsoft.com/office/drawing/2014/main" id="{1907076C-7084-44A7-8DCA-586983A84E38}"/>
            </a:ext>
          </a:extLst>
        </xdr:cNvPr>
        <xdr:cNvSpPr/>
      </xdr:nvSpPr>
      <xdr:spPr>
        <a:xfrm>
          <a:off x="432354" y="3376449"/>
          <a:ext cx="4187686" cy="282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logical1, [logical2],...</a:t>
          </a:r>
          <a:r>
            <a:rPr lang="en-US" sz="1100">
              <a:solidFill>
                <a:schemeClr val="tx1"/>
              </a:solidFill>
              <a:latin typeface="+mn-lt"/>
            </a:rPr>
            <a:t> arguments = Each contains a single logical test.</a:t>
          </a:r>
          <a:r>
            <a:rPr lang="en-US" sz="1100" baseline="0">
              <a:solidFill>
                <a:schemeClr val="tx1"/>
              </a:solidFill>
              <a:latin typeface="+mn-lt"/>
            </a:rPr>
            <a:t> </a:t>
          </a:r>
          <a:endParaRPr lang="en-US" sz="1100">
            <a:solidFill>
              <a:schemeClr val="tx1"/>
            </a:solidFill>
            <a:latin typeface="+mn-lt"/>
          </a:endParaRP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1550505</xdr:colOff>
      <xdr:row>4</xdr:row>
      <xdr:rowOff>6626</xdr:rowOff>
    </xdr:from>
    <xdr:to>
      <xdr:col>2</xdr:col>
      <xdr:colOff>1658247</xdr:colOff>
      <xdr:row>5</xdr:row>
      <xdr:rowOff>20763</xdr:rowOff>
    </xdr:to>
    <xdr:cxnSp macro="">
      <xdr:nvCxnSpPr>
        <xdr:cNvPr id="2" name="Straight Arrow Connector 1">
          <a:extLst>
            <a:ext uri="{FF2B5EF4-FFF2-40B4-BE49-F238E27FC236}">
              <a16:creationId xmlns:a16="http://schemas.microsoft.com/office/drawing/2014/main" id="{247DFB7C-89A4-4E7A-8BCA-573F8DD4B6AC}"/>
            </a:ext>
          </a:extLst>
        </xdr:cNvPr>
        <xdr:cNvCxnSpPr/>
      </xdr:nvCxnSpPr>
      <xdr:spPr>
        <a:xfrm>
          <a:off x="1967948" y="609600"/>
          <a:ext cx="107742" cy="206293"/>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6627</xdr:colOff>
      <xdr:row>1</xdr:row>
      <xdr:rowOff>86141</xdr:rowOff>
    </xdr:from>
    <xdr:to>
      <xdr:col>2</xdr:col>
      <xdr:colOff>1914940</xdr:colOff>
      <xdr:row>4</xdr:row>
      <xdr:rowOff>72888</xdr:rowOff>
    </xdr:to>
    <xdr:sp macro="" textlink="">
      <xdr:nvSpPr>
        <xdr:cNvPr id="3" name="Rectangle 2">
          <a:extLst>
            <a:ext uri="{FF2B5EF4-FFF2-40B4-BE49-F238E27FC236}">
              <a16:creationId xmlns:a16="http://schemas.microsoft.com/office/drawing/2014/main" id="{7EC99720-F886-456A-8B63-5A03E7DE0AAE}"/>
            </a:ext>
          </a:extLst>
        </xdr:cNvPr>
        <xdr:cNvSpPr/>
      </xdr:nvSpPr>
      <xdr:spPr>
        <a:xfrm>
          <a:off x="424070" y="198784"/>
          <a:ext cx="1908313" cy="47707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a:t>
          </a:r>
          <a:r>
            <a:rPr lang="en-US" sz="1100">
              <a:solidFill>
                <a:schemeClr val="tx1"/>
              </a:solidFill>
              <a:latin typeface="+mn-lt"/>
            </a:rPr>
            <a:t> argument = a value that might</a:t>
          </a:r>
          <a:r>
            <a:rPr lang="en-US" sz="1100" baseline="0">
              <a:solidFill>
                <a:schemeClr val="tx1"/>
              </a:solidFill>
              <a:latin typeface="+mn-lt"/>
            </a:rPr>
            <a:t> deleiver an #N/A error</a:t>
          </a:r>
          <a:r>
            <a:rPr lang="en-US" sz="1100">
              <a:solidFill>
                <a:schemeClr val="tx1"/>
              </a:solidFill>
              <a:latin typeface="+mn-lt"/>
            </a:rPr>
            <a:t>.</a:t>
          </a:r>
          <a:r>
            <a:rPr lang="en-US" sz="1100" baseline="0">
              <a:solidFill>
                <a:schemeClr val="tx1"/>
              </a:solidFill>
              <a:latin typeface="+mn-lt"/>
            </a:rPr>
            <a:t> </a:t>
          </a:r>
          <a:endParaRPr lang="en-US" sz="1100">
            <a:solidFill>
              <a:schemeClr val="tx1"/>
            </a:solidFill>
            <a:latin typeface="+mn-lt"/>
          </a:endParaRPr>
        </a:p>
      </xdr:txBody>
    </xdr:sp>
    <xdr:clientData/>
  </xdr:twoCellAnchor>
  <xdr:twoCellAnchor editAs="oneCell">
    <xdr:from>
      <xdr:col>2</xdr:col>
      <xdr:colOff>2599152</xdr:colOff>
      <xdr:row>4</xdr:row>
      <xdr:rowOff>0</xdr:rowOff>
    </xdr:from>
    <xdr:to>
      <xdr:col>2</xdr:col>
      <xdr:colOff>2663687</xdr:colOff>
      <xdr:row>5</xdr:row>
      <xdr:rowOff>27390</xdr:rowOff>
    </xdr:to>
    <xdr:cxnSp macro="">
      <xdr:nvCxnSpPr>
        <xdr:cNvPr id="11" name="Straight Arrow Connector 10">
          <a:extLst>
            <a:ext uri="{FF2B5EF4-FFF2-40B4-BE49-F238E27FC236}">
              <a16:creationId xmlns:a16="http://schemas.microsoft.com/office/drawing/2014/main" id="{8A2A4C98-5CC4-4FDC-A8D5-4E44E5FB71B7}"/>
            </a:ext>
          </a:extLst>
        </xdr:cNvPr>
        <xdr:cNvCxnSpPr/>
      </xdr:nvCxnSpPr>
      <xdr:spPr>
        <a:xfrm flipH="1">
          <a:off x="3016595" y="602974"/>
          <a:ext cx="64535" cy="219546"/>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2047461</xdr:colOff>
      <xdr:row>1</xdr:row>
      <xdr:rowOff>86141</xdr:rowOff>
    </xdr:from>
    <xdr:to>
      <xdr:col>2</xdr:col>
      <xdr:colOff>4194314</xdr:colOff>
      <xdr:row>4</xdr:row>
      <xdr:rowOff>72888</xdr:rowOff>
    </xdr:to>
    <xdr:sp macro="" textlink="">
      <xdr:nvSpPr>
        <xdr:cNvPr id="9" name="Rectangle 8">
          <a:extLst>
            <a:ext uri="{FF2B5EF4-FFF2-40B4-BE49-F238E27FC236}">
              <a16:creationId xmlns:a16="http://schemas.microsoft.com/office/drawing/2014/main" id="{60578B2C-8F53-4498-99C3-5BEB5D4CC61D}"/>
            </a:ext>
          </a:extLst>
        </xdr:cNvPr>
        <xdr:cNvSpPr/>
      </xdr:nvSpPr>
      <xdr:spPr>
        <a:xfrm>
          <a:off x="2464904" y="198784"/>
          <a:ext cx="2146853" cy="47707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value_if_na</a:t>
          </a:r>
          <a:r>
            <a:rPr lang="en-US" sz="1100">
              <a:solidFill>
                <a:schemeClr val="tx1"/>
              </a:solidFill>
              <a:latin typeface="+mn-lt"/>
            </a:rPr>
            <a:t> argument = what to display when an #N/A error occurs</a:t>
          </a:r>
        </a:p>
      </xdr:txBody>
    </xdr:sp>
    <xdr:clientData/>
  </xdr:twoCellAnchor>
  <xdr:oneCellAnchor>
    <xdr:from>
      <xdr:col>2</xdr:col>
      <xdr:colOff>1550505</xdr:colOff>
      <xdr:row>13</xdr:row>
      <xdr:rowOff>6626</xdr:rowOff>
    </xdr:from>
    <xdr:ext cx="107742" cy="206293"/>
    <xdr:cxnSp macro="">
      <xdr:nvCxnSpPr>
        <xdr:cNvPr id="13" name="Straight Arrow Connector 12">
          <a:extLst>
            <a:ext uri="{FF2B5EF4-FFF2-40B4-BE49-F238E27FC236}">
              <a16:creationId xmlns:a16="http://schemas.microsoft.com/office/drawing/2014/main" id="{F11A8141-C1A8-479D-8D38-591FF684E2DB}"/>
            </a:ext>
          </a:extLst>
        </xdr:cNvPr>
        <xdr:cNvCxnSpPr/>
      </xdr:nvCxnSpPr>
      <xdr:spPr>
        <a:xfrm>
          <a:off x="1967948" y="609600"/>
          <a:ext cx="107742" cy="206293"/>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6627</xdr:colOff>
      <xdr:row>10</xdr:row>
      <xdr:rowOff>86141</xdr:rowOff>
    </xdr:from>
    <xdr:ext cx="1908313" cy="477078"/>
    <xdr:sp macro="" textlink="">
      <xdr:nvSpPr>
        <xdr:cNvPr id="14" name="Rectangle 13">
          <a:extLst>
            <a:ext uri="{FF2B5EF4-FFF2-40B4-BE49-F238E27FC236}">
              <a16:creationId xmlns:a16="http://schemas.microsoft.com/office/drawing/2014/main" id="{B81DD4BC-F7E8-4B84-96C8-F28BDB89A0E7}"/>
            </a:ext>
          </a:extLst>
        </xdr:cNvPr>
        <xdr:cNvSpPr/>
      </xdr:nvSpPr>
      <xdr:spPr>
        <a:xfrm>
          <a:off x="424070" y="198784"/>
          <a:ext cx="1908313" cy="47707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a:t>
          </a:r>
          <a:r>
            <a:rPr lang="en-US" sz="1100">
              <a:solidFill>
                <a:schemeClr val="tx1"/>
              </a:solidFill>
              <a:latin typeface="+mn-lt"/>
            </a:rPr>
            <a:t> argument = a value that might</a:t>
          </a:r>
          <a:r>
            <a:rPr lang="en-US" sz="1100" baseline="0">
              <a:solidFill>
                <a:schemeClr val="tx1"/>
              </a:solidFill>
              <a:latin typeface="+mn-lt"/>
            </a:rPr>
            <a:t> deleiver an error</a:t>
          </a:r>
          <a:r>
            <a:rPr lang="en-US" sz="1100">
              <a:solidFill>
                <a:schemeClr val="tx1"/>
              </a:solidFill>
              <a:latin typeface="+mn-lt"/>
            </a:rPr>
            <a:t>.</a:t>
          </a:r>
          <a:r>
            <a:rPr lang="en-US" sz="1100" baseline="0">
              <a:solidFill>
                <a:schemeClr val="tx1"/>
              </a:solidFill>
              <a:latin typeface="+mn-lt"/>
            </a:rPr>
            <a:t> </a:t>
          </a:r>
          <a:endParaRPr lang="en-US" sz="1100">
            <a:solidFill>
              <a:schemeClr val="tx1"/>
            </a:solidFill>
            <a:latin typeface="+mn-lt"/>
          </a:endParaRPr>
        </a:p>
      </xdr:txBody>
    </xdr:sp>
    <xdr:clientData/>
  </xdr:oneCellAnchor>
  <xdr:oneCellAnchor>
    <xdr:from>
      <xdr:col>2</xdr:col>
      <xdr:colOff>2599152</xdr:colOff>
      <xdr:row>13</xdr:row>
      <xdr:rowOff>0</xdr:rowOff>
    </xdr:from>
    <xdr:ext cx="64535" cy="219546"/>
    <xdr:cxnSp macro="">
      <xdr:nvCxnSpPr>
        <xdr:cNvPr id="15" name="Straight Arrow Connector 14">
          <a:extLst>
            <a:ext uri="{FF2B5EF4-FFF2-40B4-BE49-F238E27FC236}">
              <a16:creationId xmlns:a16="http://schemas.microsoft.com/office/drawing/2014/main" id="{9289778F-94CB-408F-956E-8F0CC1034CB3}"/>
            </a:ext>
          </a:extLst>
        </xdr:cNvPr>
        <xdr:cNvCxnSpPr/>
      </xdr:nvCxnSpPr>
      <xdr:spPr>
        <a:xfrm flipH="1">
          <a:off x="3016595" y="602974"/>
          <a:ext cx="64535" cy="219546"/>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2</xdr:col>
      <xdr:colOff>2047461</xdr:colOff>
      <xdr:row>10</xdr:row>
      <xdr:rowOff>86141</xdr:rowOff>
    </xdr:from>
    <xdr:ext cx="2146853" cy="477078"/>
    <xdr:sp macro="" textlink="">
      <xdr:nvSpPr>
        <xdr:cNvPr id="16" name="Rectangle 15">
          <a:extLst>
            <a:ext uri="{FF2B5EF4-FFF2-40B4-BE49-F238E27FC236}">
              <a16:creationId xmlns:a16="http://schemas.microsoft.com/office/drawing/2014/main" id="{1B184897-8D69-4D34-AF7B-A24DAEB54295}"/>
            </a:ext>
          </a:extLst>
        </xdr:cNvPr>
        <xdr:cNvSpPr/>
      </xdr:nvSpPr>
      <xdr:spPr>
        <a:xfrm>
          <a:off x="2464904" y="198784"/>
          <a:ext cx="2146853" cy="47707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mn-lt"/>
            </a:rPr>
            <a:t>value_if_na</a:t>
          </a:r>
          <a:r>
            <a:rPr lang="en-US" sz="1100">
              <a:solidFill>
                <a:schemeClr val="tx1"/>
              </a:solidFill>
              <a:latin typeface="+mn-lt"/>
            </a:rPr>
            <a:t> argument = what to display when an error occurs</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8</xdr:col>
      <xdr:colOff>211005</xdr:colOff>
      <xdr:row>5</xdr:row>
      <xdr:rowOff>0</xdr:rowOff>
    </xdr:from>
    <xdr:to>
      <xdr:col>8</xdr:col>
      <xdr:colOff>357543</xdr:colOff>
      <xdr:row>8</xdr:row>
      <xdr:rowOff>175846</xdr:rowOff>
    </xdr:to>
    <xdr:cxnSp macro="">
      <xdr:nvCxnSpPr>
        <xdr:cNvPr id="2" name="Straight Arrow Connector 1">
          <a:extLst>
            <a:ext uri="{FF2B5EF4-FFF2-40B4-BE49-F238E27FC236}">
              <a16:creationId xmlns:a16="http://schemas.microsoft.com/office/drawing/2014/main" id="{B9D7BD29-1EE9-41AE-B74F-DC7D2446E0C7}"/>
            </a:ext>
          </a:extLst>
        </xdr:cNvPr>
        <xdr:cNvCxnSpPr/>
      </xdr:nvCxnSpPr>
      <xdr:spPr>
        <a:xfrm>
          <a:off x="6043236" y="797169"/>
          <a:ext cx="146538" cy="72096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187571</xdr:colOff>
      <xdr:row>6</xdr:row>
      <xdr:rowOff>93784</xdr:rowOff>
    </xdr:from>
    <xdr:to>
      <xdr:col>9</xdr:col>
      <xdr:colOff>486508</xdr:colOff>
      <xdr:row>8</xdr:row>
      <xdr:rowOff>23446</xdr:rowOff>
    </xdr:to>
    <xdr:sp macro="" textlink="">
      <xdr:nvSpPr>
        <xdr:cNvPr id="3" name="Rectangle 2">
          <a:extLst>
            <a:ext uri="{FF2B5EF4-FFF2-40B4-BE49-F238E27FC236}">
              <a16:creationId xmlns:a16="http://schemas.microsoft.com/office/drawing/2014/main" id="{8B598FD7-6A77-4380-8975-BC53B3032A25}"/>
            </a:ext>
          </a:extLst>
        </xdr:cNvPr>
        <xdr:cNvSpPr/>
      </xdr:nvSpPr>
      <xdr:spPr>
        <a:xfrm>
          <a:off x="5029446" y="1097084"/>
          <a:ext cx="2213462" cy="304312"/>
        </a:xfrm>
        <a:prstGeom prst="rect">
          <a:avLst/>
        </a:prstGeom>
        <a:solidFill>
          <a:schemeClr val="bg1"/>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45720" tIns="0" rIns="0" bIns="0" rtlCol="0" anchor="t"/>
        <a:lstStyle/>
        <a:p>
          <a:pPr algn="l"/>
          <a:r>
            <a:rPr lang="en-US" sz="900" kern="1200" baseline="0">
              <a:solidFill>
                <a:schemeClr val="tx1"/>
              </a:solidFill>
            </a:rPr>
            <a:t>Text value used in COUNTIFS.</a:t>
          </a:r>
        </a:p>
        <a:p>
          <a:pPr algn="l"/>
          <a:r>
            <a:rPr lang="en-US" sz="900" kern="1200" baseline="0">
              <a:solidFill>
                <a:schemeClr val="tx1"/>
              </a:solidFill>
            </a:rPr>
            <a:t>Direct logical tests cannot use text conditions.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187567</xdr:colOff>
      <xdr:row>5</xdr:row>
      <xdr:rowOff>0</xdr:rowOff>
    </xdr:from>
    <xdr:to>
      <xdr:col>8</xdr:col>
      <xdr:colOff>334105</xdr:colOff>
      <xdr:row>8</xdr:row>
      <xdr:rowOff>175846</xdr:rowOff>
    </xdr:to>
    <xdr:cxnSp macro="">
      <xdr:nvCxnSpPr>
        <xdr:cNvPr id="2" name="Straight Arrow Connector 1">
          <a:extLst>
            <a:ext uri="{FF2B5EF4-FFF2-40B4-BE49-F238E27FC236}">
              <a16:creationId xmlns:a16="http://schemas.microsoft.com/office/drawing/2014/main" id="{E1BA4C3A-0BBA-4F09-8C3E-8EF10C148924}"/>
            </a:ext>
          </a:extLst>
        </xdr:cNvPr>
        <xdr:cNvCxnSpPr/>
      </xdr:nvCxnSpPr>
      <xdr:spPr>
        <a:xfrm>
          <a:off x="6019798" y="797169"/>
          <a:ext cx="146538" cy="72096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187571</xdr:colOff>
      <xdr:row>6</xdr:row>
      <xdr:rowOff>93784</xdr:rowOff>
    </xdr:from>
    <xdr:to>
      <xdr:col>9</xdr:col>
      <xdr:colOff>486508</xdr:colOff>
      <xdr:row>8</xdr:row>
      <xdr:rowOff>23446</xdr:rowOff>
    </xdr:to>
    <xdr:sp macro="" textlink="">
      <xdr:nvSpPr>
        <xdr:cNvPr id="3" name="Rectangle 2">
          <a:extLst>
            <a:ext uri="{FF2B5EF4-FFF2-40B4-BE49-F238E27FC236}">
              <a16:creationId xmlns:a16="http://schemas.microsoft.com/office/drawing/2014/main" id="{18F863A7-9163-455F-BC68-FCDFF8877427}"/>
            </a:ext>
          </a:extLst>
        </xdr:cNvPr>
        <xdr:cNvSpPr/>
      </xdr:nvSpPr>
      <xdr:spPr>
        <a:xfrm>
          <a:off x="4942451" y="1076764"/>
          <a:ext cx="2181077" cy="295422"/>
        </a:xfrm>
        <a:prstGeom prst="rect">
          <a:avLst/>
        </a:prstGeom>
        <a:solidFill>
          <a:schemeClr val="bg1"/>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45720" tIns="0" rIns="0" bIns="0" rtlCol="0" anchor="t"/>
        <a:lstStyle/>
        <a:p>
          <a:pPr algn="l"/>
          <a:r>
            <a:rPr lang="en-US" sz="900" kern="1200" baseline="0">
              <a:solidFill>
                <a:schemeClr val="tx1"/>
              </a:solidFill>
            </a:rPr>
            <a:t>Text value used in COUNTIFS.</a:t>
          </a:r>
        </a:p>
        <a:p>
          <a:pPr algn="l"/>
          <a:r>
            <a:rPr lang="en-US" sz="900" kern="1200" baseline="0">
              <a:solidFill>
                <a:schemeClr val="tx1"/>
              </a:solidFill>
            </a:rPr>
            <a:t>Direct logical tests cannot use text conditions.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329915</xdr:colOff>
      <xdr:row>14</xdr:row>
      <xdr:rowOff>125895</xdr:rowOff>
    </xdr:from>
    <xdr:to>
      <xdr:col>7</xdr:col>
      <xdr:colOff>820310</xdr:colOff>
      <xdr:row>17</xdr:row>
      <xdr:rowOff>36774</xdr:rowOff>
    </xdr:to>
    <xdr:pic>
      <xdr:nvPicPr>
        <xdr:cNvPr id="2" name="Picture 1">
          <a:extLst>
            <a:ext uri="{FF2B5EF4-FFF2-40B4-BE49-F238E27FC236}">
              <a16:creationId xmlns:a16="http://schemas.microsoft.com/office/drawing/2014/main" id="{CC95677D-F91D-4276-A4A3-F9318936D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9915" y="2465235"/>
          <a:ext cx="6007275" cy="459519"/>
        </a:xfrm>
        <a:prstGeom prst="rect">
          <a:avLst/>
        </a:prstGeom>
      </xdr:spPr>
    </xdr:pic>
    <xdr:clientData/>
  </xdr:twoCellAnchor>
  <xdr:twoCellAnchor>
    <xdr:from>
      <xdr:col>1</xdr:col>
      <xdr:colOff>894521</xdr:colOff>
      <xdr:row>11</xdr:row>
      <xdr:rowOff>72887</xdr:rowOff>
    </xdr:from>
    <xdr:to>
      <xdr:col>1</xdr:col>
      <xdr:colOff>1033669</xdr:colOff>
      <xdr:row>14</xdr:row>
      <xdr:rowOff>145774</xdr:rowOff>
    </xdr:to>
    <xdr:cxnSp macro="">
      <xdr:nvCxnSpPr>
        <xdr:cNvPr id="3" name="Straight Arrow Connector 2">
          <a:extLst>
            <a:ext uri="{FF2B5EF4-FFF2-40B4-BE49-F238E27FC236}">
              <a16:creationId xmlns:a16="http://schemas.microsoft.com/office/drawing/2014/main" id="{B82C7B6C-2024-4FAF-99E6-00E45DEA95F1}"/>
            </a:ext>
          </a:extLst>
        </xdr:cNvPr>
        <xdr:cNvCxnSpPr/>
      </xdr:nvCxnSpPr>
      <xdr:spPr>
        <a:xfrm flipH="1" flipV="1">
          <a:off x="1245041" y="1977887"/>
          <a:ext cx="139148" cy="507227"/>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1045427</xdr:colOff>
      <xdr:row>5</xdr:row>
      <xdr:rowOff>69696</xdr:rowOff>
    </xdr:from>
    <xdr:to>
      <xdr:col>6</xdr:col>
      <xdr:colOff>1692729</xdr:colOff>
      <xdr:row>8</xdr:row>
      <xdr:rowOff>92529</xdr:rowOff>
    </xdr:to>
    <xdr:cxnSp macro="">
      <xdr:nvCxnSpPr>
        <xdr:cNvPr id="2" name="Straight Arrow Connector 1">
          <a:extLst>
            <a:ext uri="{FF2B5EF4-FFF2-40B4-BE49-F238E27FC236}">
              <a16:creationId xmlns:a16="http://schemas.microsoft.com/office/drawing/2014/main" id="{D436AC14-2808-4FB4-B1AF-1D162F42513F}"/>
            </a:ext>
          </a:extLst>
        </xdr:cNvPr>
        <xdr:cNvCxnSpPr/>
      </xdr:nvCxnSpPr>
      <xdr:spPr>
        <a:xfrm flipH="1" flipV="1">
          <a:off x="3887687" y="839316"/>
          <a:ext cx="647302" cy="571473"/>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473129</xdr:colOff>
      <xdr:row>8</xdr:row>
      <xdr:rowOff>5443</xdr:rowOff>
    </xdr:from>
    <xdr:to>
      <xdr:col>6</xdr:col>
      <xdr:colOff>2590003</xdr:colOff>
      <xdr:row>10</xdr:row>
      <xdr:rowOff>95272</xdr:rowOff>
    </xdr:to>
    <xdr:pic>
      <xdr:nvPicPr>
        <xdr:cNvPr id="3" name="Picture 2">
          <a:extLst>
            <a:ext uri="{FF2B5EF4-FFF2-40B4-BE49-F238E27FC236}">
              <a16:creationId xmlns:a16="http://schemas.microsoft.com/office/drawing/2014/main" id="{216C8637-E0D6-44BD-8F68-3BFD722593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15389" y="1323703"/>
          <a:ext cx="2116874" cy="45558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279797</xdr:colOff>
      <xdr:row>6</xdr:row>
      <xdr:rowOff>125016</xdr:rowOff>
    </xdr:from>
    <xdr:to>
      <xdr:col>9</xdr:col>
      <xdr:colOff>375047</xdr:colOff>
      <xdr:row>7</xdr:row>
      <xdr:rowOff>166687</xdr:rowOff>
    </xdr:to>
    <xdr:cxnSp macro="">
      <xdr:nvCxnSpPr>
        <xdr:cNvPr id="2" name="Straight Arrow Connector 1">
          <a:extLst>
            <a:ext uri="{FF2B5EF4-FFF2-40B4-BE49-F238E27FC236}">
              <a16:creationId xmlns:a16="http://schemas.microsoft.com/office/drawing/2014/main" id="{66895788-72A3-4195-8D5E-4289A97DB077}"/>
            </a:ext>
          </a:extLst>
        </xdr:cNvPr>
        <xdr:cNvCxnSpPr/>
      </xdr:nvCxnSpPr>
      <xdr:spPr>
        <a:xfrm flipH="1">
          <a:off x="5766197" y="1222296"/>
          <a:ext cx="95250" cy="224551"/>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220266</xdr:colOff>
      <xdr:row>6</xdr:row>
      <xdr:rowOff>160734</xdr:rowOff>
    </xdr:from>
    <xdr:to>
      <xdr:col>4</xdr:col>
      <xdr:colOff>363141</xdr:colOff>
      <xdr:row>7</xdr:row>
      <xdr:rowOff>178593</xdr:rowOff>
    </xdr:to>
    <xdr:cxnSp macro="">
      <xdr:nvCxnSpPr>
        <xdr:cNvPr id="3" name="Straight Arrow Connector 2">
          <a:extLst>
            <a:ext uri="{FF2B5EF4-FFF2-40B4-BE49-F238E27FC236}">
              <a16:creationId xmlns:a16="http://schemas.microsoft.com/office/drawing/2014/main" id="{48ABEF6F-F980-4A33-842A-265A8E04DE36}"/>
            </a:ext>
          </a:extLst>
        </xdr:cNvPr>
        <xdr:cNvCxnSpPr/>
      </xdr:nvCxnSpPr>
      <xdr:spPr>
        <a:xfrm>
          <a:off x="2658666" y="1258014"/>
          <a:ext cx="142875" cy="200739"/>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571500</xdr:colOff>
      <xdr:row>6</xdr:row>
      <xdr:rowOff>148828</xdr:rowOff>
    </xdr:from>
    <xdr:to>
      <xdr:col>6</xdr:col>
      <xdr:colOff>60892</xdr:colOff>
      <xdr:row>7</xdr:row>
      <xdr:rowOff>181657</xdr:rowOff>
    </xdr:to>
    <xdr:cxnSp macro="">
      <xdr:nvCxnSpPr>
        <xdr:cNvPr id="4" name="Straight Arrow Connector 3">
          <a:extLst>
            <a:ext uri="{FF2B5EF4-FFF2-40B4-BE49-F238E27FC236}">
              <a16:creationId xmlns:a16="http://schemas.microsoft.com/office/drawing/2014/main" id="{521DF700-85EB-4466-81E7-E384FCEF4000}"/>
            </a:ext>
          </a:extLst>
        </xdr:cNvPr>
        <xdr:cNvCxnSpPr/>
      </xdr:nvCxnSpPr>
      <xdr:spPr>
        <a:xfrm>
          <a:off x="3619500" y="1246108"/>
          <a:ext cx="98992" cy="215709"/>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174172</xdr:colOff>
      <xdr:row>6</xdr:row>
      <xdr:rowOff>0</xdr:rowOff>
    </xdr:from>
    <xdr:to>
      <xdr:col>7</xdr:col>
      <xdr:colOff>178594</xdr:colOff>
      <xdr:row>7</xdr:row>
      <xdr:rowOff>190500</xdr:rowOff>
    </xdr:to>
    <xdr:cxnSp macro="">
      <xdr:nvCxnSpPr>
        <xdr:cNvPr id="5" name="Straight Arrow Connector 4">
          <a:extLst>
            <a:ext uri="{FF2B5EF4-FFF2-40B4-BE49-F238E27FC236}">
              <a16:creationId xmlns:a16="http://schemas.microsoft.com/office/drawing/2014/main" id="{A6C099A8-7EB9-4EF8-B434-1778C228A0CF}"/>
            </a:ext>
          </a:extLst>
        </xdr:cNvPr>
        <xdr:cNvCxnSpPr/>
      </xdr:nvCxnSpPr>
      <xdr:spPr>
        <a:xfrm flipH="1">
          <a:off x="4441372" y="1097280"/>
          <a:ext cx="4422" cy="373380"/>
        </a:xfrm>
        <a:prstGeom prst="straightConnector1">
          <a:avLst/>
        </a:prstGeom>
        <a:ln w="19050">
          <a:solidFill>
            <a:schemeClr val="tx1"/>
          </a:solidFill>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683</xdr:colOff>
      <xdr:row>3</xdr:row>
      <xdr:rowOff>168714</xdr:rowOff>
    </xdr:from>
    <xdr:to>
      <xdr:col>4</xdr:col>
      <xdr:colOff>428629</xdr:colOff>
      <xdr:row>7</xdr:row>
      <xdr:rowOff>60028</xdr:rowOff>
    </xdr:to>
    <xdr:sp macro="" textlink="">
      <xdr:nvSpPr>
        <xdr:cNvPr id="6" name="Rectangle 5">
          <a:extLst>
            <a:ext uri="{FF2B5EF4-FFF2-40B4-BE49-F238E27FC236}">
              <a16:creationId xmlns:a16="http://schemas.microsoft.com/office/drawing/2014/main" id="{091AA088-86A5-4FCF-BFC5-25F8A4A20A67}"/>
            </a:ext>
          </a:extLst>
        </xdr:cNvPr>
        <xdr:cNvSpPr/>
      </xdr:nvSpPr>
      <xdr:spPr>
        <a:xfrm>
          <a:off x="1829483" y="717354"/>
          <a:ext cx="1037546" cy="6228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baseline="0">
              <a:solidFill>
                <a:schemeClr val="tx1"/>
              </a:solidFill>
            </a:rPr>
            <a:t>expression</a:t>
          </a:r>
          <a:br>
            <a:rPr lang="en-US" sz="1100" b="0" baseline="0">
              <a:solidFill>
                <a:schemeClr val="tx1"/>
              </a:solidFill>
            </a:rPr>
          </a:br>
          <a:r>
            <a:rPr lang="en-US" sz="1100" baseline="0">
              <a:solidFill>
                <a:schemeClr val="tx1"/>
              </a:solidFill>
            </a:rPr>
            <a:t>argument = lookup_value</a:t>
          </a:r>
        </a:p>
      </xdr:txBody>
    </xdr:sp>
    <xdr:clientData/>
  </xdr:twoCellAnchor>
  <xdr:twoCellAnchor>
    <xdr:from>
      <xdr:col>4</xdr:col>
      <xdr:colOff>499366</xdr:colOff>
      <xdr:row>2</xdr:row>
      <xdr:rowOff>171776</xdr:rowOff>
    </xdr:from>
    <xdr:to>
      <xdr:col>6</xdr:col>
      <xdr:colOff>269289</xdr:colOff>
      <xdr:row>7</xdr:row>
      <xdr:rowOff>60028</xdr:rowOff>
    </xdr:to>
    <xdr:sp macro="" textlink="">
      <xdr:nvSpPr>
        <xdr:cNvPr id="7" name="Rectangle 6">
          <a:extLst>
            <a:ext uri="{FF2B5EF4-FFF2-40B4-BE49-F238E27FC236}">
              <a16:creationId xmlns:a16="http://schemas.microsoft.com/office/drawing/2014/main" id="{AAB7F22D-10DF-42B7-BFAD-B1289514A37F}"/>
            </a:ext>
          </a:extLst>
        </xdr:cNvPr>
        <xdr:cNvSpPr/>
      </xdr:nvSpPr>
      <xdr:spPr>
        <a:xfrm>
          <a:off x="2937766" y="537536"/>
          <a:ext cx="989123" cy="8026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baseline="0">
              <a:solidFill>
                <a:schemeClr val="tx1"/>
              </a:solidFill>
            </a:rPr>
            <a:t>value1</a:t>
          </a:r>
          <a:br>
            <a:rPr lang="en-US" sz="1100" b="1" baseline="0">
              <a:solidFill>
                <a:schemeClr val="tx1"/>
              </a:solidFill>
            </a:rPr>
          </a:br>
          <a:r>
            <a:rPr lang="en-US" sz="1100" baseline="0">
              <a:solidFill>
                <a:schemeClr val="tx1"/>
              </a:solidFill>
            </a:rPr>
            <a:t>argument =</a:t>
          </a:r>
          <a:br>
            <a:rPr lang="en-US" sz="1100" baseline="0">
              <a:solidFill>
                <a:schemeClr val="tx1"/>
              </a:solidFill>
            </a:rPr>
          </a:br>
          <a:r>
            <a:rPr lang="en-US" sz="1100" baseline="0">
              <a:solidFill>
                <a:schemeClr val="tx1"/>
              </a:solidFill>
            </a:rPr>
            <a:t>match against lookup_value</a:t>
          </a:r>
        </a:p>
      </xdr:txBody>
    </xdr:sp>
    <xdr:clientData/>
  </xdr:twoCellAnchor>
  <xdr:twoCellAnchor>
    <xdr:from>
      <xdr:col>6</xdr:col>
      <xdr:colOff>340026</xdr:colOff>
      <xdr:row>2</xdr:row>
      <xdr:rowOff>171280</xdr:rowOff>
    </xdr:from>
    <xdr:to>
      <xdr:col>9</xdr:col>
      <xdr:colOff>698</xdr:colOff>
      <xdr:row>7</xdr:row>
      <xdr:rowOff>60028</xdr:rowOff>
    </xdr:to>
    <xdr:sp macro="" textlink="">
      <xdr:nvSpPr>
        <xdr:cNvPr id="8" name="Rectangle 7">
          <a:extLst>
            <a:ext uri="{FF2B5EF4-FFF2-40B4-BE49-F238E27FC236}">
              <a16:creationId xmlns:a16="http://schemas.microsoft.com/office/drawing/2014/main" id="{9E32E2D1-595F-4913-86E5-D893066409E5}"/>
            </a:ext>
          </a:extLst>
        </xdr:cNvPr>
        <xdr:cNvSpPr/>
      </xdr:nvSpPr>
      <xdr:spPr>
        <a:xfrm>
          <a:off x="3997626" y="537040"/>
          <a:ext cx="1489472" cy="8031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baseline="0">
              <a:solidFill>
                <a:schemeClr val="tx1"/>
              </a:solidFill>
            </a:rPr>
            <a:t>result1</a:t>
          </a:r>
          <a:br>
            <a:rPr lang="en-US" sz="1100" b="1" baseline="0">
              <a:solidFill>
                <a:schemeClr val="tx1"/>
              </a:solidFill>
            </a:rPr>
          </a:br>
          <a:r>
            <a:rPr lang="en-US" sz="1100" baseline="0">
              <a:solidFill>
                <a:schemeClr val="tx1"/>
              </a:solidFill>
            </a:rPr>
            <a:t>argument =</a:t>
          </a:r>
          <a:br>
            <a:rPr lang="en-US" sz="1100" baseline="0">
              <a:solidFill>
                <a:schemeClr val="tx1"/>
              </a:solidFill>
            </a:rPr>
          </a:br>
          <a:r>
            <a:rPr lang="en-US" sz="1100" baseline="0">
              <a:solidFill>
                <a:schemeClr val="tx1"/>
              </a:solidFill>
            </a:rPr>
            <a:t>if value1 = expression, this is result to return</a:t>
          </a:r>
        </a:p>
      </xdr:txBody>
    </xdr:sp>
    <xdr:clientData/>
  </xdr:twoCellAnchor>
  <xdr:twoCellAnchor>
    <xdr:from>
      <xdr:col>9</xdr:col>
      <xdr:colOff>71436</xdr:colOff>
      <xdr:row>2</xdr:row>
      <xdr:rowOff>171280</xdr:rowOff>
    </xdr:from>
    <xdr:to>
      <xdr:col>9</xdr:col>
      <xdr:colOff>1904999</xdr:colOff>
      <xdr:row>7</xdr:row>
      <xdr:rowOff>60028</xdr:rowOff>
    </xdr:to>
    <xdr:sp macro="" textlink="">
      <xdr:nvSpPr>
        <xdr:cNvPr id="9" name="Rectangle 8">
          <a:extLst>
            <a:ext uri="{FF2B5EF4-FFF2-40B4-BE49-F238E27FC236}">
              <a16:creationId xmlns:a16="http://schemas.microsoft.com/office/drawing/2014/main" id="{2541E1A2-4FF8-4361-84CC-44100504FEED}"/>
            </a:ext>
          </a:extLst>
        </xdr:cNvPr>
        <xdr:cNvSpPr/>
      </xdr:nvSpPr>
      <xdr:spPr>
        <a:xfrm>
          <a:off x="5557836" y="537040"/>
          <a:ext cx="1833563" cy="8031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baseline="0">
              <a:solidFill>
                <a:schemeClr val="tx1"/>
              </a:solidFill>
            </a:rPr>
            <a:t>[default_or_value2, result2]</a:t>
          </a:r>
          <a:br>
            <a:rPr lang="en-US" sz="1100" b="1" baseline="0">
              <a:solidFill>
                <a:schemeClr val="tx1"/>
              </a:solidFill>
            </a:rPr>
          </a:br>
          <a:r>
            <a:rPr lang="en-US" sz="1100" baseline="0">
              <a:solidFill>
                <a:schemeClr val="tx1"/>
              </a:solidFill>
            </a:rPr>
            <a:t>argument =</a:t>
          </a:r>
          <a:br>
            <a:rPr lang="en-US" sz="1100" baseline="0">
              <a:solidFill>
                <a:schemeClr val="tx1"/>
              </a:solidFill>
            </a:rPr>
          </a:br>
          <a:r>
            <a:rPr lang="en-US" sz="1100" baseline="0">
              <a:solidFill>
                <a:schemeClr val="tx1"/>
              </a:solidFill>
            </a:rPr>
            <a:t>continue with value and result, or put default</a:t>
          </a:r>
        </a:p>
      </xdr:txBody>
    </xdr:sp>
    <xdr:clientData/>
  </xdr:twoCellAnchor>
  <xdr:twoCellAnchor editAs="oneCell">
    <xdr:from>
      <xdr:col>2</xdr:col>
      <xdr:colOff>398859</xdr:colOff>
      <xdr:row>10</xdr:row>
      <xdr:rowOff>0</xdr:rowOff>
    </xdr:from>
    <xdr:to>
      <xdr:col>10</xdr:col>
      <xdr:colOff>336947</xdr:colOff>
      <xdr:row>17</xdr:row>
      <xdr:rowOff>176006</xdr:rowOff>
    </xdr:to>
    <xdr:pic>
      <xdr:nvPicPr>
        <xdr:cNvPr id="10" name="Picture 9">
          <a:extLst>
            <a:ext uri="{FF2B5EF4-FFF2-40B4-BE49-F238E27FC236}">
              <a16:creationId xmlns:a16="http://schemas.microsoft.com/office/drawing/2014/main" id="{8AEE4F0B-4B4C-469F-BCF0-278947F7C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8059" y="2456973"/>
          <a:ext cx="6178868" cy="14535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00VideoClassStorage\00000AllExcelBook\TheOnlyAppMatterBook-20210618\Ch12-Excel365-WorksheetFormula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girvin\Desktop\00ExcelBasics\Files\EB05-3\Ch13-Excel365-LogicalFormulas.xlsx" TargetMode="External"/><Relationship Id="rId1" Type="http://schemas.openxmlformats.org/officeDocument/2006/relationships/externalLinkPath" Target="EB05-3/Ch13-Excel365-LogicalFormulas.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mgirvin\Desktop\ExcelBasicsClass\OldExcelBasicsFiles\EB19-SUMIFSandSimilarFunctions.xlsm" TargetMode="External"/><Relationship Id="rId1" Type="http://schemas.openxmlformats.org/officeDocument/2006/relationships/externalLinkPath" Target="/Users/mgirvin/Desktop/ExcelBasicsClass/OldExcelBasicsFiles/EB19-SUMIFSandSimilarFunction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ypes"/>
      <sheetName val="Elements"/>
      <sheetName val="Ch12(1-2)"/>
      <sheetName val="Ch12(3)"/>
      <sheetName val="Ch12(4)"/>
      <sheetName val="Ch12(4an)"/>
      <sheetName val="Ch12(5)"/>
      <sheetName val="Ch12(5an)"/>
      <sheetName val="Ch12(6)"/>
      <sheetName val="Ch12(6an)"/>
      <sheetName val="Ch12(7-8)"/>
      <sheetName val="Ch12(7-8an)"/>
      <sheetName val="Ch12(9)"/>
      <sheetName val="Ch12(9an)"/>
      <sheetName val="Ch12(10)"/>
      <sheetName val="Ch12(10an)"/>
      <sheetName val="Ch12(11-12)"/>
      <sheetName val="Ch12(11-12an)"/>
      <sheetName val="Ch12(13-15)"/>
      <sheetName val="Ch12(13-15an)"/>
      <sheetName val="Ch12(14)"/>
      <sheetName val="Ch12(16-19)"/>
      <sheetName val="Ch12(16-19an)"/>
      <sheetName val="Ch12(20)"/>
      <sheetName val="Ch12(20an)"/>
      <sheetName val="Ch12(21-22)"/>
      <sheetName val="Ch12(21-22an)"/>
      <sheetName val="Ch12(23-24)"/>
      <sheetName val="Ch12(23-24an)"/>
      <sheetName val="Ch12(25-27)"/>
      <sheetName val="Ch12(25-27an)"/>
      <sheetName val="Ch12(28)"/>
      <sheetName val="Ch12(28an)"/>
      <sheetName val="Ch12(29-30)"/>
      <sheetName val="Ch12(29-30an)"/>
      <sheetName val="Ch12(31-34)"/>
      <sheetName val="Ch12(31-34an)"/>
      <sheetName val="Ch12(35-37)"/>
      <sheetName val="Ch12(35-37an)"/>
      <sheetName val="Ch12(38-39)"/>
      <sheetName val="Ch12(38-39an)"/>
      <sheetName val="LookupTable"/>
      <sheetName val="Ch12(40-41)"/>
      <sheetName val="Ch12(40-41an)"/>
      <sheetName val="Ch12(42)"/>
      <sheetName val="Ch12(42an)"/>
      <sheetName val="Ch12(43)"/>
      <sheetName val="Ch12(43an)"/>
      <sheetName val="Ch12(44)"/>
      <sheetName val="Ch12(44an)"/>
      <sheetName val="Ch12(45)"/>
      <sheetName val="Ch12(46)"/>
      <sheetName val="Ch12(46an)"/>
      <sheetName val="Jan"/>
      <sheetName val="Feb"/>
      <sheetName val="Mar"/>
      <sheetName val="Apr"/>
      <sheetName val="Ch12(47)"/>
      <sheetName val="Practice Problems ==&gt;"/>
      <sheetName val="PPCh12 (1)"/>
      <sheetName val="PPCh12 (1an)"/>
      <sheetName val="PPCh12 (2)"/>
      <sheetName val="PPCh12 (2an)"/>
      <sheetName val="PPCh12 (3)"/>
      <sheetName val="PPCh12 (3an)"/>
      <sheetName val="PPCh12 (4)"/>
      <sheetName val="PPCh12 (4an)"/>
      <sheetName val="PPCh12 (5)"/>
      <sheetName val="PPCh12 (5an)"/>
      <sheetName val="PPCh12 (6)"/>
      <sheetName val="PPCh12 (6an)"/>
      <sheetName val="PPCh12 (7)"/>
      <sheetName val="PPCh12 (7an)"/>
      <sheetName val="PPCh12 (8)"/>
      <sheetName val="PPCh12 (8an)"/>
      <sheetName val="PPCh12 (9)"/>
      <sheetName val="PPCh12 (9an)"/>
      <sheetName val="PPCh12 (10)"/>
      <sheetName val="PPCh12 (10an)"/>
      <sheetName val="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9">
          <cell r="G9" t="str">
            <v>Floyd</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13(1)"/>
      <sheetName val="Ch13(1an)"/>
      <sheetName val="Ch13(2)"/>
      <sheetName val="Ch13(2an)"/>
      <sheetName val="Ch13(3)"/>
      <sheetName val="Ch13(3an)"/>
      <sheetName val="Ch13(4)"/>
      <sheetName val="Ch13(4an)"/>
      <sheetName val="Ch13(5)"/>
      <sheetName val="Ch13(5an)"/>
      <sheetName val="Ch13(6)"/>
      <sheetName val="Ch13(6an)"/>
      <sheetName val="Ch13(7)"/>
      <sheetName val="Ch13(7an)"/>
      <sheetName val="Ch13(8)"/>
      <sheetName val="Ch13(8an)"/>
      <sheetName val="Ch13(9)"/>
      <sheetName val="Ch13(9an)"/>
      <sheetName val="Ch13(10)"/>
      <sheetName val="Ch13(10an)"/>
      <sheetName val="Ch13(11)"/>
      <sheetName val="Ch13(11an)"/>
      <sheetName val="Ch13(12)"/>
      <sheetName val="Ch13(12an)"/>
      <sheetName val="Ch13(13-14)"/>
      <sheetName val="Ch13(13-14an)"/>
      <sheetName val="Ch13(15)"/>
      <sheetName val="Ch13(15an)"/>
      <sheetName val="Ch13(16)"/>
      <sheetName val="Ch13(16an)"/>
      <sheetName val="Ch13(17)"/>
      <sheetName val="Ch13(17an)"/>
      <sheetName val="Ch13(18)"/>
      <sheetName val="Ch13(18an)"/>
      <sheetName val="Ch13(19)"/>
      <sheetName val="Ch13(19an)"/>
      <sheetName val="Ch13(20)"/>
      <sheetName val="Ch13(20an)"/>
      <sheetName val="Ch13(21)"/>
      <sheetName val="Ch13(21an)"/>
      <sheetName val="Ch13(22)"/>
      <sheetName val="Ch13(22an)"/>
      <sheetName val="Ch13(23)"/>
      <sheetName val="Ch13(23an)"/>
      <sheetName val="Ch13(24)"/>
      <sheetName val="Ch13(24an)"/>
      <sheetName val="Ch13(25)"/>
      <sheetName val="Ch13(25an)"/>
      <sheetName val="Ch13(26)"/>
      <sheetName val="Ch13(26an)"/>
      <sheetName val="Ch13(27)"/>
      <sheetName val="Ch13(27an)"/>
      <sheetName val="Ch13(28)"/>
      <sheetName val="Ch13(28an)"/>
      <sheetName val="Ch13(29)"/>
      <sheetName val="Ch13(29an)"/>
      <sheetName val="Ch13(30)"/>
      <sheetName val="Ch13(31)"/>
      <sheetName val="Ch13(31an)"/>
      <sheetName val="Ch13(32)"/>
      <sheetName val="Ch13(32an)"/>
      <sheetName val="Ch13(33)"/>
      <sheetName val="Ch13(34)"/>
      <sheetName val="Ch13(34an)"/>
      <sheetName val="Ch13(35)"/>
      <sheetName val="Ch13(35an)"/>
      <sheetName val="Ch13(36)"/>
      <sheetName val="Ch13(36an)"/>
      <sheetName val="Ch13(37)"/>
      <sheetName val="Ch13(37an)"/>
      <sheetName val="Ch13(38)"/>
      <sheetName val="Ch13(38an)"/>
      <sheetName val="Ch13(39)"/>
      <sheetName val="Ch13(39an)"/>
      <sheetName val="Ch13(40-41)"/>
      <sheetName val="Ch13(40-41an)"/>
      <sheetName val="Practice Problems ==&gt;"/>
      <sheetName val="PPCh13(1)"/>
      <sheetName val="PPCh13(1an)"/>
      <sheetName val="PPCh13(2)"/>
      <sheetName val="PPCh13(2an)"/>
      <sheetName val="PPCh13(3)"/>
      <sheetName val="PPCh13(3an)"/>
      <sheetName val="PPCh13(4)"/>
      <sheetName val="PPCh13(4an)"/>
      <sheetName val="PPCh13(5)"/>
      <sheetName val="PPCh13(5an)"/>
      <sheetName val="PPCh13(6)"/>
      <sheetName val="PPCh13(6an)"/>
      <sheetName val="PPCh13(7)"/>
      <sheetName val="PPCh13(7an)"/>
      <sheetName val="PPCh13(8)"/>
      <sheetName val="PPCh13(8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ow r="8">
          <cell r="C8">
            <v>1533.89</v>
          </cell>
        </row>
        <row r="9">
          <cell r="C9">
            <v>690.16</v>
          </cell>
        </row>
        <row r="10">
          <cell r="C10">
            <v>1029.52</v>
          </cell>
        </row>
        <row r="11">
          <cell r="C11">
            <v>642.89</v>
          </cell>
        </row>
        <row r="12">
          <cell r="C12">
            <v>883.31</v>
          </cell>
        </row>
        <row r="13">
          <cell r="C13">
            <v>528.14</v>
          </cell>
        </row>
        <row r="14">
          <cell r="C14">
            <v>771.07</v>
          </cell>
        </row>
        <row r="15">
          <cell r="C15">
            <v>1033.92</v>
          </cell>
        </row>
        <row r="16">
          <cell r="C16">
            <v>290.43</v>
          </cell>
        </row>
        <row r="17">
          <cell r="C17">
            <v>1756.26</v>
          </cell>
        </row>
        <row r="18">
          <cell r="C18">
            <v>697.59</v>
          </cell>
        </row>
        <row r="19">
          <cell r="C19">
            <v>674.16</v>
          </cell>
        </row>
        <row r="20">
          <cell r="C20">
            <v>449.45</v>
          </cell>
        </row>
        <row r="21">
          <cell r="C21">
            <v>1065.58</v>
          </cell>
        </row>
        <row r="22">
          <cell r="C22">
            <v>1461.6</v>
          </cell>
        </row>
        <row r="23">
          <cell r="C23">
            <v>1059.1099999999999</v>
          </cell>
        </row>
        <row r="24">
          <cell r="C24">
            <v>414.42</v>
          </cell>
        </row>
        <row r="25">
          <cell r="C25">
            <v>291.36</v>
          </cell>
        </row>
        <row r="26">
          <cell r="C26">
            <v>529.20000000000005</v>
          </cell>
        </row>
        <row r="27">
          <cell r="C27">
            <v>376.29</v>
          </cell>
        </row>
      </sheetData>
      <sheetData sheetId="65">
        <row r="8">
          <cell r="B8">
            <v>44300</v>
          </cell>
          <cell r="C8">
            <v>1533.89</v>
          </cell>
        </row>
        <row r="9">
          <cell r="B9">
            <v>44267</v>
          </cell>
          <cell r="C9">
            <v>690.16</v>
          </cell>
        </row>
        <row r="10">
          <cell r="B10">
            <v>44249</v>
          </cell>
          <cell r="C10">
            <v>1029.52</v>
          </cell>
        </row>
        <row r="11">
          <cell r="B11">
            <v>44260</v>
          </cell>
          <cell r="C11">
            <v>642.89</v>
          </cell>
        </row>
        <row r="12">
          <cell r="B12">
            <v>44290</v>
          </cell>
          <cell r="C12">
            <v>883.31</v>
          </cell>
        </row>
        <row r="13">
          <cell r="B13">
            <v>44243</v>
          </cell>
          <cell r="C13">
            <v>528.14</v>
          </cell>
        </row>
        <row r="14">
          <cell r="B14">
            <v>44239</v>
          </cell>
          <cell r="C14">
            <v>771.07</v>
          </cell>
        </row>
        <row r="15">
          <cell r="B15">
            <v>44226</v>
          </cell>
          <cell r="C15">
            <v>1033.92</v>
          </cell>
        </row>
        <row r="16">
          <cell r="B16">
            <v>44214</v>
          </cell>
          <cell r="C16">
            <v>290.43</v>
          </cell>
        </row>
        <row r="17">
          <cell r="B17">
            <v>44279</v>
          </cell>
          <cell r="C17">
            <v>1756.26</v>
          </cell>
        </row>
        <row r="18">
          <cell r="B18">
            <v>44224</v>
          </cell>
          <cell r="C18">
            <v>697.59</v>
          </cell>
        </row>
        <row r="19">
          <cell r="B19">
            <v>44283</v>
          </cell>
          <cell r="C19">
            <v>674.16</v>
          </cell>
        </row>
        <row r="20">
          <cell r="B20">
            <v>44307</v>
          </cell>
          <cell r="C20">
            <v>449.45</v>
          </cell>
        </row>
        <row r="21">
          <cell r="B21">
            <v>44221</v>
          </cell>
          <cell r="C21">
            <v>1065.58</v>
          </cell>
        </row>
        <row r="22">
          <cell r="B22">
            <v>44204</v>
          </cell>
          <cell r="C22">
            <v>1461.6</v>
          </cell>
        </row>
        <row r="23">
          <cell r="B23">
            <v>44211</v>
          </cell>
          <cell r="C23">
            <v>1059.1099999999999</v>
          </cell>
        </row>
        <row r="24">
          <cell r="B24">
            <v>44308</v>
          </cell>
          <cell r="C24">
            <v>414.42</v>
          </cell>
        </row>
        <row r="25">
          <cell r="B25">
            <v>44308</v>
          </cell>
          <cell r="C25">
            <v>291.36</v>
          </cell>
        </row>
        <row r="26">
          <cell r="B26">
            <v>44232</v>
          </cell>
          <cell r="C26">
            <v>529.20000000000005</v>
          </cell>
        </row>
        <row r="27">
          <cell r="B27">
            <v>44247</v>
          </cell>
          <cell r="C27">
            <v>376.29</v>
          </cell>
        </row>
      </sheetData>
      <sheetData sheetId="66" refreshError="1"/>
      <sheetData sheetId="67" refreshError="1"/>
      <sheetData sheetId="68" refreshError="1"/>
      <sheetData sheetId="69" refreshError="1"/>
      <sheetData sheetId="70">
        <row r="7">
          <cell r="B7" t="str">
            <v>USA</v>
          </cell>
          <cell r="C7" t="str">
            <v>Sioux</v>
          </cell>
        </row>
        <row r="8">
          <cell r="B8" t="str">
            <v>Mexico</v>
          </cell>
          <cell r="C8" t="str">
            <v>Gigi</v>
          </cell>
        </row>
        <row r="9">
          <cell r="B9" t="str">
            <v>Canada</v>
          </cell>
          <cell r="C9" t="str">
            <v>Tyrone</v>
          </cell>
        </row>
        <row r="10">
          <cell r="B10" t="str">
            <v>Canada</v>
          </cell>
          <cell r="C10" t="str">
            <v>Abdi</v>
          </cell>
        </row>
        <row r="11">
          <cell r="B11" t="str">
            <v>USA</v>
          </cell>
          <cell r="C11" t="str">
            <v>Chantel</v>
          </cell>
        </row>
        <row r="12">
          <cell r="B12" t="str">
            <v>Canada</v>
          </cell>
          <cell r="C12" t="str">
            <v>Sioux</v>
          </cell>
        </row>
        <row r="13">
          <cell r="B13" t="str">
            <v>USA</v>
          </cell>
          <cell r="C13" t="str">
            <v>Chantel</v>
          </cell>
        </row>
        <row r="14">
          <cell r="B14" t="str">
            <v>USA</v>
          </cell>
          <cell r="C14" t="str">
            <v>Miki</v>
          </cell>
        </row>
        <row r="15">
          <cell r="B15" t="str">
            <v>Mexico</v>
          </cell>
          <cell r="C15" t="str">
            <v>Abdi</v>
          </cell>
        </row>
        <row r="16">
          <cell r="B16" t="str">
            <v>Mexico</v>
          </cell>
          <cell r="C16" t="str">
            <v>Gigi</v>
          </cell>
        </row>
        <row r="17">
          <cell r="B17" t="str">
            <v>Canada</v>
          </cell>
          <cell r="C17" t="str">
            <v>Tyrone</v>
          </cell>
        </row>
        <row r="18">
          <cell r="B18" t="str">
            <v>USA</v>
          </cell>
          <cell r="C18" t="str">
            <v>Sioux</v>
          </cell>
        </row>
        <row r="19">
          <cell r="B19" t="str">
            <v>Canada</v>
          </cell>
          <cell r="C19" t="str">
            <v>Tyrone</v>
          </cell>
        </row>
        <row r="20">
          <cell r="B20" t="str">
            <v>Mexico</v>
          </cell>
          <cell r="C20" t="str">
            <v>Sioux</v>
          </cell>
        </row>
        <row r="21">
          <cell r="B21" t="str">
            <v>USA</v>
          </cell>
          <cell r="C21" t="str">
            <v>Chantel</v>
          </cell>
        </row>
        <row r="22">
          <cell r="B22" t="str">
            <v>USA</v>
          </cell>
          <cell r="C22" t="str">
            <v>Gigi</v>
          </cell>
        </row>
        <row r="23">
          <cell r="B23" t="str">
            <v>USA</v>
          </cell>
          <cell r="C23" t="str">
            <v>Tyrone</v>
          </cell>
        </row>
        <row r="24">
          <cell r="B24" t="str">
            <v>USA</v>
          </cell>
          <cell r="C24" t="str">
            <v>Miki</v>
          </cell>
        </row>
        <row r="25">
          <cell r="B25" t="str">
            <v>USA</v>
          </cell>
          <cell r="C25" t="str">
            <v>Chantel</v>
          </cell>
        </row>
        <row r="26">
          <cell r="B26" t="str">
            <v>Mexico</v>
          </cell>
          <cell r="C26" t="str">
            <v>Abdi</v>
          </cell>
        </row>
      </sheetData>
      <sheetData sheetId="71">
        <row r="7">
          <cell r="B7" t="str">
            <v>USA</v>
          </cell>
          <cell r="C7" t="str">
            <v>Sioux</v>
          </cell>
          <cell r="D7">
            <v>1533.89</v>
          </cell>
        </row>
        <row r="8">
          <cell r="B8" t="str">
            <v>Mexico</v>
          </cell>
          <cell r="C8" t="str">
            <v>Gigi</v>
          </cell>
          <cell r="D8">
            <v>690.16</v>
          </cell>
        </row>
        <row r="9">
          <cell r="B9" t="str">
            <v>Canada</v>
          </cell>
          <cell r="C9" t="str">
            <v>Tyrone</v>
          </cell>
          <cell r="D9">
            <v>1029.52</v>
          </cell>
        </row>
        <row r="10">
          <cell r="B10" t="str">
            <v>Canada</v>
          </cell>
          <cell r="C10" t="str">
            <v>Abdi</v>
          </cell>
          <cell r="D10">
            <v>642.89</v>
          </cell>
        </row>
        <row r="11">
          <cell r="B11" t="str">
            <v>USA</v>
          </cell>
          <cell r="C11" t="str">
            <v>Chantel</v>
          </cell>
          <cell r="D11">
            <v>883.31</v>
          </cell>
        </row>
        <row r="12">
          <cell r="B12" t="str">
            <v>Canada</v>
          </cell>
          <cell r="C12" t="str">
            <v>Sioux</v>
          </cell>
          <cell r="D12">
            <v>528.14</v>
          </cell>
        </row>
        <row r="13">
          <cell r="B13" t="str">
            <v>USA</v>
          </cell>
          <cell r="C13" t="str">
            <v>Chantel</v>
          </cell>
          <cell r="D13">
            <v>771.07</v>
          </cell>
        </row>
        <row r="14">
          <cell r="B14" t="str">
            <v>USA</v>
          </cell>
          <cell r="C14" t="str">
            <v>Miki</v>
          </cell>
          <cell r="D14">
            <v>1033.92</v>
          </cell>
        </row>
        <row r="15">
          <cell r="B15" t="str">
            <v>Mexico</v>
          </cell>
          <cell r="C15" t="str">
            <v>Abdi</v>
          </cell>
          <cell r="D15">
            <v>290.43</v>
          </cell>
        </row>
        <row r="16">
          <cell r="B16" t="str">
            <v>Mexico</v>
          </cell>
          <cell r="C16" t="str">
            <v>Gigi</v>
          </cell>
          <cell r="D16">
            <v>1756.26</v>
          </cell>
        </row>
        <row r="17">
          <cell r="B17" t="str">
            <v>Canada</v>
          </cell>
          <cell r="C17" t="str">
            <v>Tyrone</v>
          </cell>
          <cell r="D17">
            <v>697.59</v>
          </cell>
        </row>
        <row r="18">
          <cell r="B18" t="str">
            <v>USA</v>
          </cell>
          <cell r="C18" t="str">
            <v>Sioux</v>
          </cell>
          <cell r="D18">
            <v>674.16</v>
          </cell>
        </row>
        <row r="19">
          <cell r="B19" t="str">
            <v>Canada</v>
          </cell>
          <cell r="C19" t="str">
            <v>Tyrone</v>
          </cell>
          <cell r="D19">
            <v>449.45</v>
          </cell>
        </row>
        <row r="20">
          <cell r="B20" t="str">
            <v>Mexico</v>
          </cell>
          <cell r="C20" t="str">
            <v>Sioux</v>
          </cell>
          <cell r="D20">
            <v>1065.58</v>
          </cell>
        </row>
        <row r="21">
          <cell r="B21" t="str">
            <v>USA</v>
          </cell>
          <cell r="C21" t="str">
            <v>Chantel</v>
          </cell>
          <cell r="D21">
            <v>1461.6</v>
          </cell>
        </row>
        <row r="22">
          <cell r="B22" t="str">
            <v>USA</v>
          </cell>
          <cell r="C22" t="str">
            <v>Gigi</v>
          </cell>
          <cell r="D22">
            <v>1059.1099999999999</v>
          </cell>
        </row>
        <row r="23">
          <cell r="B23" t="str">
            <v>USA</v>
          </cell>
          <cell r="C23" t="str">
            <v>Tyrone</v>
          </cell>
          <cell r="D23">
            <v>414.42</v>
          </cell>
        </row>
        <row r="24">
          <cell r="B24" t="str">
            <v>USA</v>
          </cell>
          <cell r="C24" t="str">
            <v>Miki</v>
          </cell>
          <cell r="D24">
            <v>1291.3599999999999</v>
          </cell>
        </row>
        <row r="25">
          <cell r="B25" t="str">
            <v>USA</v>
          </cell>
          <cell r="C25" t="str">
            <v>Chantel</v>
          </cell>
          <cell r="D25">
            <v>529.20000000000005</v>
          </cell>
        </row>
        <row r="26">
          <cell r="B26" t="str">
            <v>Mexico</v>
          </cell>
          <cell r="C26" t="str">
            <v>Abdi</v>
          </cell>
          <cell r="D26">
            <v>376.29</v>
          </cell>
        </row>
      </sheetData>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Video 03"/>
      <sheetName val="Video 04"/>
      <sheetName val="Video 12"/>
      <sheetName val="Video 18"/>
      <sheetName val="More!"/>
      <sheetName val="AND"/>
      <sheetName val="Ex(1)"/>
      <sheetName val="Ex(1an)"/>
      <sheetName val="Ex(2)"/>
      <sheetName val="Ex(2an)"/>
      <sheetName val="Ex(3)"/>
      <sheetName val="Ex(3an)"/>
      <sheetName val="Ex(4)"/>
      <sheetName val="Ex(4an)"/>
      <sheetName val="Ex(5)"/>
      <sheetName val="Ex(5an)"/>
      <sheetName val="Ex(6)"/>
      <sheetName val="Ex(6an)"/>
      <sheetName val="Ex(7)"/>
      <sheetName val="Ex(7an)"/>
      <sheetName val="Ex(8)"/>
      <sheetName val="Ex(8an)"/>
      <sheetName val="Ex(9-10)"/>
      <sheetName val="Ex(9-10) (an)"/>
      <sheetName val="HW==&gt;&gt;"/>
      <sheetName val="HW(1)"/>
      <sheetName val="HW(1an)"/>
      <sheetName val="HW(2)"/>
      <sheetName val="HW(2an)"/>
      <sheetName val="HW(3)"/>
      <sheetName val="HW(3an)"/>
    </sheetNames>
    <sheetDataSet>
      <sheetData sheetId="0"/>
      <sheetData sheetId="1"/>
      <sheetData sheetId="2"/>
      <sheetData sheetId="3"/>
      <sheetData sheetId="4">
        <row r="2">
          <cell r="C2">
            <v>19161</v>
          </cell>
          <cell r="D2" t="str">
            <v>Jo</v>
          </cell>
        </row>
        <row r="3">
          <cell r="C3">
            <v>15027</v>
          </cell>
          <cell r="D3" t="str">
            <v>Gigi</v>
          </cell>
        </row>
        <row r="4">
          <cell r="C4">
            <v>12953</v>
          </cell>
          <cell r="D4" t="str">
            <v>Chin</v>
          </cell>
        </row>
        <row r="5">
          <cell r="C5">
            <v>12670</v>
          </cell>
          <cell r="D5" t="str">
            <v>Jo</v>
          </cell>
        </row>
        <row r="6">
          <cell r="C6">
            <v>8893</v>
          </cell>
          <cell r="D6" t="str">
            <v>Gigi</v>
          </cell>
        </row>
        <row r="7">
          <cell r="C7">
            <v>4667</v>
          </cell>
          <cell r="D7" t="str">
            <v>Chin</v>
          </cell>
        </row>
        <row r="8">
          <cell r="C8">
            <v>20272</v>
          </cell>
          <cell r="D8" t="str">
            <v>Jo</v>
          </cell>
        </row>
        <row r="9">
          <cell r="C9">
            <v>20204</v>
          </cell>
          <cell r="D9" t="str">
            <v>Gigi</v>
          </cell>
        </row>
        <row r="10">
          <cell r="C10">
            <v>17223</v>
          </cell>
          <cell r="D10" t="str">
            <v>Chin</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A6B61-8D7B-4ECC-8D10-885B8D21C030}">
  <sheetPr>
    <tabColor rgb="FFFFFF00"/>
  </sheetPr>
  <dimension ref="B1:Z22"/>
  <sheetViews>
    <sheetView showGridLines="0" zoomScale="130" zoomScaleNormal="130" workbookViewId="0"/>
  </sheetViews>
  <sheetFormatPr defaultRowHeight="14.4" x14ac:dyDescent="0.3"/>
  <cols>
    <col min="1" max="1" width="1.21875" customWidth="1"/>
    <col min="2" max="2" width="0.77734375" customWidth="1"/>
    <col min="3" max="3" width="62.77734375" customWidth="1"/>
    <col min="5" max="5" width="2.44140625" customWidth="1"/>
    <col min="6" max="6" width="3.44140625" customWidth="1"/>
    <col min="7" max="7" width="21.5546875" customWidth="1"/>
  </cols>
  <sheetData>
    <row r="1" spans="2:26" ht="15" thickBot="1" x14ac:dyDescent="0.35"/>
    <row r="2" spans="2:26" x14ac:dyDescent="0.3">
      <c r="C2" s="149" t="s">
        <v>396</v>
      </c>
      <c r="D2" s="150"/>
    </row>
    <row r="3" spans="2:26" x14ac:dyDescent="0.3">
      <c r="C3" s="151"/>
      <c r="D3" s="152"/>
      <c r="F3" s="131">
        <v>1</v>
      </c>
      <c r="G3" s="134" t="s">
        <v>397</v>
      </c>
      <c r="H3" s="132" t="str" cm="1">
        <f t="array" aca="1" ref="H3:H18" ca="1">_xlfn.TEXTAFTER(Z7:Z22,": ")</f>
        <v>=C8&gt;=C9</v>
      </c>
      <c r="I3" s="132"/>
      <c r="J3" s="132"/>
      <c r="K3" s="132"/>
      <c r="L3" s="132"/>
      <c r="M3" s="132"/>
      <c r="N3" s="133"/>
    </row>
    <row r="4" spans="2:26" x14ac:dyDescent="0.3">
      <c r="C4" s="151"/>
      <c r="D4" s="152"/>
      <c r="F4" s="131">
        <v>2</v>
      </c>
      <c r="G4" s="134" t="s">
        <v>398</v>
      </c>
      <c r="H4" s="132" t="str">
        <f ca="1"/>
        <v>=ISNUMBER(B19:B21)</v>
      </c>
      <c r="I4" s="132"/>
      <c r="J4" s="132"/>
      <c r="K4" s="132"/>
      <c r="L4" s="132"/>
      <c r="M4" s="132"/>
      <c r="N4" s="133"/>
    </row>
    <row r="5" spans="2:26" ht="15" thickBot="1" x14ac:dyDescent="0.35">
      <c r="C5" s="153"/>
      <c r="D5" s="154"/>
      <c r="F5" s="131">
        <v>3</v>
      </c>
      <c r="G5" s="134" t="s">
        <v>399</v>
      </c>
      <c r="H5" s="132" t="str">
        <f ca="1"/>
        <v>=AND(C36&gt;=$D$32,D36&gt;$D$33)</v>
      </c>
      <c r="I5" s="132"/>
      <c r="J5" s="132"/>
      <c r="K5" s="132"/>
      <c r="L5" s="132"/>
      <c r="M5" s="132"/>
      <c r="N5" s="133"/>
    </row>
    <row r="6" spans="2:26" x14ac:dyDescent="0.3">
      <c r="F6" s="131">
        <v>4</v>
      </c>
      <c r="G6" s="134" t="s">
        <v>400</v>
      </c>
      <c r="H6" s="132" t="str">
        <f ca="1"/>
        <v>=B48:B50=C42</v>
      </c>
      <c r="I6" s="132"/>
      <c r="J6" s="132"/>
      <c r="K6" s="132"/>
      <c r="L6" s="132"/>
      <c r="M6" s="132"/>
      <c r="N6" s="133"/>
    </row>
    <row r="7" spans="2:26" x14ac:dyDescent="0.3">
      <c r="B7" s="6"/>
      <c r="C7" s="5"/>
      <c r="D7" s="4"/>
      <c r="F7" s="131">
        <v>5</v>
      </c>
      <c r="G7" s="134" t="s">
        <v>401</v>
      </c>
      <c r="H7" s="132" t="str">
        <f ca="1"/>
        <v>=AND(B60:C60)</v>
      </c>
      <c r="I7" s="132"/>
      <c r="J7" s="132"/>
      <c r="K7" s="132"/>
      <c r="L7" s="132"/>
      <c r="M7" s="132"/>
      <c r="N7" s="133"/>
      <c r="Z7" t="str" cm="1">
        <f t="array" aca="1" ref="Z7" ca="1">ShowFormulas('LT(1-5an)'!C10)</f>
        <v>C10: =C8&gt;=C9</v>
      </c>
    </row>
    <row r="8" spans="2:26" x14ac:dyDescent="0.3">
      <c r="B8" s="2"/>
      <c r="D8" s="1"/>
      <c r="F8" s="131">
        <v>6</v>
      </c>
      <c r="G8" s="134" t="s">
        <v>397</v>
      </c>
      <c r="H8" s="132" t="str">
        <f ca="1"/>
        <v>=IF(C10&gt;=C9,C8,0)</v>
      </c>
      <c r="I8" s="132"/>
      <c r="J8" s="132"/>
      <c r="K8" s="132"/>
      <c r="L8" s="132"/>
      <c r="M8" s="132"/>
      <c r="N8" s="133"/>
      <c r="Z8" t="str" cm="1">
        <f t="array" aca="1" ref="Z8" ca="1">ShowFormulas('LT(1-5an)'!C19)</f>
        <v>C19: =ISNUMBER(B19:B21)</v>
      </c>
    </row>
    <row r="9" spans="2:26" x14ac:dyDescent="0.3">
      <c r="B9" s="2"/>
      <c r="D9" s="1"/>
      <c r="F9" s="131">
        <v>7</v>
      </c>
      <c r="G9" s="134" t="s">
        <v>402</v>
      </c>
      <c r="H9" s="132" t="str">
        <f ca="1"/>
        <v>=IF(B23=C23,"In Balance","NOT In Balance")</v>
      </c>
      <c r="I9" s="132"/>
      <c r="J9" s="132"/>
      <c r="K9" s="132"/>
      <c r="L9" s="132"/>
      <c r="M9" s="132"/>
      <c r="N9" s="133"/>
      <c r="Z9" t="str" cm="1">
        <f t="array" aca="1" ref="Z9" ca="1">ShowFormulas('LT(1-5an)'!E36)</f>
        <v>E36: =AND(C36&gt;=$D$32,D36&gt;$D$33)</v>
      </c>
    </row>
    <row r="10" spans="2:26" ht="15" thickBot="1" x14ac:dyDescent="0.35">
      <c r="B10" s="2"/>
      <c r="D10" s="1"/>
      <c r="F10" s="131">
        <v>8</v>
      </c>
      <c r="G10" s="134" t="s">
        <v>403</v>
      </c>
      <c r="H10" s="132" t="str">
        <f ca="1"/>
        <v>=IF(B36:B40&gt;B33,C33,D33)*B36:B40</v>
      </c>
      <c r="I10" s="132"/>
      <c r="J10" s="132"/>
      <c r="K10" s="132"/>
      <c r="L10" s="132"/>
      <c r="M10" s="132"/>
      <c r="N10" s="133"/>
      <c r="Z10" t="str" cm="1">
        <f t="array" aca="1" ref="Z10" ca="1">ShowFormulas('LT(1-5an)'!C48)</f>
        <v>C48: =B48:B50=C42</v>
      </c>
    </row>
    <row r="11" spans="2:26" ht="21.6" thickBot="1" x14ac:dyDescent="0.35">
      <c r="B11" s="2"/>
      <c r="C11" s="3" t="s">
        <v>1</v>
      </c>
      <c r="D11" s="1"/>
      <c r="F11" s="131">
        <v>9</v>
      </c>
      <c r="G11" s="134" t="s">
        <v>404</v>
      </c>
      <c r="H11" s="132" t="str">
        <f ca="1"/>
        <v>=XLOOKUP(B7:B12,G7:G12,H7:H12,"")</v>
      </c>
      <c r="I11" s="132"/>
      <c r="J11" s="132"/>
      <c r="K11" s="132"/>
      <c r="L11" s="132"/>
      <c r="M11" s="132"/>
      <c r="N11" s="133"/>
      <c r="Z11" t="str" cm="1">
        <f t="array" aca="1" ref="Z11" ca="1">ShowFormulas('LT(1-5an)'!E60)</f>
        <v>E60: =AND(B60:C60)</v>
      </c>
    </row>
    <row r="12" spans="2:26" x14ac:dyDescent="0.3">
      <c r="B12" s="2"/>
      <c r="D12" s="1"/>
      <c r="F12" s="131">
        <v>10</v>
      </c>
      <c r="G12" s="134"/>
      <c r="H12" s="132" t="str">
        <f ca="1"/>
        <v>=IF(ISNUMBER(D7#),C7:C12*D7#,"")</v>
      </c>
      <c r="I12" s="132"/>
      <c r="J12" s="132"/>
      <c r="K12" s="132"/>
      <c r="L12" s="132"/>
      <c r="M12" s="132"/>
      <c r="N12" s="133"/>
      <c r="Z12" t="str" cm="1">
        <f t="array" aca="1" ref="Z12" ca="1">ShowFormulas('IF(6-8an)'!C12)</f>
        <v>C12: =IF(C10&gt;=C9,C8,0)</v>
      </c>
    </row>
    <row r="13" spans="2:26" x14ac:dyDescent="0.3">
      <c r="B13" s="2"/>
      <c r="D13" s="1"/>
      <c r="F13" s="131">
        <v>11</v>
      </c>
      <c r="G13" s="134" t="s">
        <v>405</v>
      </c>
      <c r="H13" s="132" t="str">
        <f ca="1"/>
        <v>=IF(AND(E10&gt;=$C$6,F10&gt;$C$7),$H$6,$H$7)</v>
      </c>
      <c r="I13" s="132"/>
      <c r="J13" s="132"/>
      <c r="K13" s="132"/>
      <c r="L13" s="132"/>
      <c r="M13" s="132"/>
      <c r="N13" s="133"/>
      <c r="Z13" t="str" cm="1">
        <f t="array" aca="1" ref="Z13" ca="1">ShowFormulas('IF(6-8an)'!C26)</f>
        <v>C26: =IF(B23=C23,"In Balance","NOT In Balance")</v>
      </c>
    </row>
    <row r="14" spans="2:26" x14ac:dyDescent="0.3">
      <c r="B14" s="2"/>
      <c r="D14" s="1"/>
      <c r="F14" s="131">
        <v>12</v>
      </c>
      <c r="G14" s="134"/>
      <c r="H14" s="132" t="str">
        <f ca="1"/>
        <v>=IF((E10:E19&gt;=C6)*(F10:F19&gt;C7),H6,H7)</v>
      </c>
      <c r="I14" s="132"/>
      <c r="J14" s="132"/>
      <c r="K14" s="132"/>
      <c r="L14" s="132"/>
      <c r="M14" s="132"/>
      <c r="N14" s="133"/>
      <c r="Z14" t="str" cm="1">
        <f t="array" aca="1" ref="Z14" ca="1">ShowFormulas('IF(6-8an)'!C36)</f>
        <v>C36: =IF(B36:B40&gt;B33,C33,D33)*B36:B40</v>
      </c>
    </row>
    <row r="15" spans="2:26" x14ac:dyDescent="0.3">
      <c r="B15" s="2"/>
      <c r="D15" s="1"/>
      <c r="F15" s="131">
        <v>13</v>
      </c>
      <c r="G15" s="134" t="s">
        <v>406</v>
      </c>
      <c r="H15" s="132" t="str">
        <f ca="1"/>
        <v>=IF(OR(B10&gt;$C$6,C10&gt;=$C$7),"Credit","")</v>
      </c>
      <c r="I15" s="132"/>
      <c r="J15" s="132"/>
      <c r="K15" s="132"/>
      <c r="L15" s="132"/>
      <c r="M15" s="132"/>
      <c r="N15" s="133"/>
      <c r="Z15" t="str" cm="1">
        <f t="array" aca="1" ref="Z15" ca="1">ShowFormulas('IF(9an)'!D7)</f>
        <v>D7: =XLOOKUP(B7:B12,G7:G12,H7:H12,"")</v>
      </c>
    </row>
    <row r="16" spans="2:26" x14ac:dyDescent="0.3">
      <c r="B16" s="2"/>
      <c r="D16" s="1"/>
      <c r="F16" s="131">
        <v>14</v>
      </c>
      <c r="G16" s="134"/>
      <c r="H16" s="132" t="str">
        <f ca="1"/>
        <v>=IF((B10:B15&gt;C6)+(C10:C15&gt;=C7),"Credit","")</v>
      </c>
      <c r="I16" s="132"/>
      <c r="J16" s="132"/>
      <c r="K16" s="132"/>
      <c r="L16" s="132"/>
      <c r="M16" s="132"/>
      <c r="N16" s="133"/>
      <c r="Z16" t="str" cm="1">
        <f t="array" aca="1" ref="Z16" ca="1">ShowFormulas('IF(9an)'!E7)</f>
        <v>E7: =IF(ISNUMBER(D7#),C7:C12*D7#,"")</v>
      </c>
    </row>
    <row r="17" spans="2:26" x14ac:dyDescent="0.3">
      <c r="B17" s="143" t="s">
        <v>0</v>
      </c>
      <c r="C17" s="144"/>
      <c r="D17" s="145"/>
      <c r="F17" s="131">
        <v>15</v>
      </c>
      <c r="G17" s="134" t="s">
        <v>407</v>
      </c>
      <c r="H17" s="132" t="str">
        <f ca="1"/>
        <v>=IFS(C6&gt;C11,"Net Income",C11&gt;C6,"Net Loss",TRUE,"Break Even")</v>
      </c>
      <c r="I17" s="132"/>
      <c r="J17" s="132"/>
      <c r="K17" s="132"/>
      <c r="L17" s="132"/>
      <c r="M17" s="132"/>
      <c r="N17" s="133"/>
      <c r="Z17" t="str" cm="1">
        <f t="array" aca="1" ref="Z17" ca="1">ShowFormulas('IF(10an)'!G10)</f>
        <v>G10: =IF(AND(E10&gt;=$C$6,F10&gt;$C$7),$H$6,$H$7)</v>
      </c>
    </row>
    <row r="18" spans="2:26" x14ac:dyDescent="0.3">
      <c r="B18" s="146"/>
      <c r="C18" s="147"/>
      <c r="D18" s="148"/>
      <c r="F18" s="131">
        <v>16</v>
      </c>
      <c r="G18" s="134" t="s">
        <v>408</v>
      </c>
      <c r="H18" s="132" t="e">
        <f ca="1"/>
        <v>#N/A</v>
      </c>
      <c r="I18" s="132"/>
      <c r="J18" s="132"/>
      <c r="K18" s="132"/>
      <c r="L18" s="132"/>
      <c r="M18" s="132"/>
      <c r="N18" s="133"/>
      <c r="Z18" t="str" cm="1">
        <f t="array" aca="1" ref="Z18" ca="1">ShowFormulas('IF(10an)'!H10)</f>
        <v>H10: =IF((E10:E19&gt;=C6)*(F10:F19&gt;C7),H6,H7)</v>
      </c>
    </row>
    <row r="19" spans="2:26" x14ac:dyDescent="0.3">
      <c r="Z19" t="str" cm="1">
        <f t="array" aca="1" ref="Z19" ca="1">ShowFormulas('IF(11an)'!E10)</f>
        <v>E10: =IF(OR(B10&gt;$C$6,C10&gt;=$C$7),"Credit","")</v>
      </c>
    </row>
    <row r="20" spans="2:26" x14ac:dyDescent="0.3">
      <c r="Z20" t="str" cm="1">
        <f t="array" aca="1" ref="Z20" ca="1">ShowFormulas('IF(11an)'!F10)</f>
        <v>F10: =IF((B10:B15&gt;C6)+(C10:C15&gt;=C7),"Credit","")</v>
      </c>
    </row>
    <row r="21" spans="2:26" x14ac:dyDescent="0.3">
      <c r="Z21" t="str" cm="1">
        <f t="array" aca="1" ref="Z21" ca="1">ShowFormulas('IFS(12an)'!B12)</f>
        <v>B12: =IFS(C6&gt;C11,"Net Income",C11&gt;C6,"Net Loss",TRUE,"Break Even")</v>
      </c>
    </row>
    <row r="22" spans="2:26" x14ac:dyDescent="0.3">
      <c r="Z22" t="str" cm="1">
        <f t="array" aca="1" ref="Z22" ca="1">ShowFormulas('IFNA and FT(13)'!G6)</f>
        <v/>
      </c>
    </row>
  </sheetData>
  <mergeCells count="2">
    <mergeCell ref="B17:D18"/>
    <mergeCell ref="C2:D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4B26C-5C17-4B21-9B95-A7B5103FE632}">
  <sheetPr>
    <tabColor rgb="FF0000FF"/>
  </sheetPr>
  <dimension ref="B1:I66"/>
  <sheetViews>
    <sheetView zoomScale="115" zoomScaleNormal="115" workbookViewId="0"/>
  </sheetViews>
  <sheetFormatPr defaultRowHeight="14.4" x14ac:dyDescent="0.3"/>
  <cols>
    <col min="1" max="1" width="2" customWidth="1"/>
    <col min="2" max="2" width="15.5546875" customWidth="1"/>
    <col min="3" max="3" width="14.5546875" customWidth="1"/>
    <col min="4" max="4" width="12.44140625" customWidth="1"/>
    <col min="5" max="5" width="13.5546875" customWidth="1"/>
    <col min="6" max="6" width="11.21875" customWidth="1"/>
    <col min="7" max="7" width="4.88671875" customWidth="1"/>
    <col min="8" max="8" width="10.88671875" customWidth="1"/>
    <col min="9" max="9" width="11.6640625" customWidth="1"/>
    <col min="10" max="10" width="13.109375" bestFit="1" customWidth="1"/>
    <col min="12" max="12" width="16.33203125" customWidth="1"/>
  </cols>
  <sheetData>
    <row r="1" spans="2:9" ht="5.4" customHeight="1" x14ac:dyDescent="0.3"/>
    <row r="2" spans="2:9" x14ac:dyDescent="0.3">
      <c r="B2" s="7" t="s">
        <v>328</v>
      </c>
      <c r="F2" s="7" t="s">
        <v>374</v>
      </c>
    </row>
    <row r="3" spans="2:9" x14ac:dyDescent="0.3">
      <c r="B3" t="s">
        <v>347</v>
      </c>
      <c r="F3" t="s">
        <v>376</v>
      </c>
    </row>
    <row r="5" spans="2:9" x14ac:dyDescent="0.3">
      <c r="B5" t="s">
        <v>2</v>
      </c>
      <c r="C5" t="s">
        <v>345</v>
      </c>
      <c r="F5" s="46" t="s">
        <v>132</v>
      </c>
      <c r="H5" s="46" t="s">
        <v>331</v>
      </c>
      <c r="I5" s="20" t="str">
        <f>"&gt;="&amp;C9</f>
        <v>&gt;=50000</v>
      </c>
    </row>
    <row r="6" spans="2:9" x14ac:dyDescent="0.3">
      <c r="B6" t="s">
        <v>331</v>
      </c>
      <c r="C6" t="str">
        <f>"&gt;="&amp;C9</f>
        <v>&gt;=50000</v>
      </c>
      <c r="F6" s="20">
        <v>55000</v>
      </c>
      <c r="H6" s="46" t="s">
        <v>375</v>
      </c>
      <c r="I6" s="21">
        <f>COUNTIFS(F6:F9,I5)</f>
        <v>2</v>
      </c>
    </row>
    <row r="7" spans="2:9" x14ac:dyDescent="0.3">
      <c r="F7" s="20">
        <v>25000</v>
      </c>
    </row>
    <row r="8" spans="2:9" x14ac:dyDescent="0.3">
      <c r="B8" s="46" t="s">
        <v>329</v>
      </c>
      <c r="C8" s="126">
        <v>65000</v>
      </c>
      <c r="F8" s="20">
        <v>68500</v>
      </c>
    </row>
    <row r="9" spans="2:9" x14ac:dyDescent="0.3">
      <c r="B9" s="46" t="s">
        <v>330</v>
      </c>
      <c r="C9" s="126">
        <v>50000</v>
      </c>
      <c r="F9" s="20">
        <v>43050</v>
      </c>
    </row>
    <row r="10" spans="2:9" x14ac:dyDescent="0.3">
      <c r="B10" s="46" t="str">
        <f>FIXED(C8,0)&amp;"&gt;="&amp;FIXED(C9,0)&amp;"?"</f>
        <v>65,000&gt;=50,000?</v>
      </c>
      <c r="C10" s="21"/>
      <c r="D10" s="9"/>
      <c r="H10" t="str">
        <f ca="1">_xlfn.IFNA(_xlfn.FORMULATEXT(I6),"")</f>
        <v>=COUNTIFS(F6:F9,I5)</v>
      </c>
    </row>
    <row r="12" spans="2:9" x14ac:dyDescent="0.3">
      <c r="B12" s="7" t="s">
        <v>336</v>
      </c>
    </row>
    <row r="13" spans="2:9" x14ac:dyDescent="0.3">
      <c r="B13" t="s">
        <v>333</v>
      </c>
    </row>
    <row r="14" spans="2:9" ht="5.4" customHeight="1" x14ac:dyDescent="0.3"/>
    <row r="15" spans="2:9" x14ac:dyDescent="0.3">
      <c r="B15" t="s">
        <v>2</v>
      </c>
      <c r="C15" t="s">
        <v>335</v>
      </c>
    </row>
    <row r="16" spans="2:9" x14ac:dyDescent="0.3">
      <c r="B16" t="s">
        <v>331</v>
      </c>
      <c r="C16" t="s">
        <v>346</v>
      </c>
    </row>
    <row r="17" spans="2:4" ht="5.4" customHeight="1" x14ac:dyDescent="0.3"/>
    <row r="18" spans="2:4" x14ac:dyDescent="0.3">
      <c r="B18" s="46" t="s">
        <v>149</v>
      </c>
      <c r="C18" s="46" t="s">
        <v>42</v>
      </c>
    </row>
    <row r="19" spans="2:4" x14ac:dyDescent="0.3">
      <c r="B19" s="20">
        <v>250</v>
      </c>
      <c r="C19" s="21"/>
    </row>
    <row r="20" spans="2:4" x14ac:dyDescent="0.3">
      <c r="B20" s="127">
        <v>500</v>
      </c>
      <c r="C20" s="21"/>
    </row>
    <row r="21" spans="2:4" x14ac:dyDescent="0.3">
      <c r="B21" s="20">
        <v>100</v>
      </c>
      <c r="C21" s="21"/>
      <c r="D21" s="9"/>
    </row>
    <row r="22" spans="2:4" x14ac:dyDescent="0.3">
      <c r="B22" s="21">
        <f>SUM(B19:B21)</f>
        <v>850</v>
      </c>
    </row>
    <row r="24" spans="2:4" x14ac:dyDescent="0.3">
      <c r="B24" s="7" t="s">
        <v>332</v>
      </c>
    </row>
    <row r="25" spans="2:4" x14ac:dyDescent="0.3">
      <c r="B25" t="s">
        <v>348</v>
      </c>
    </row>
    <row r="26" spans="2:4" x14ac:dyDescent="0.3">
      <c r="B26" t="s">
        <v>349</v>
      </c>
    </row>
    <row r="27" spans="2:4" ht="5.4" customHeight="1" x14ac:dyDescent="0.3"/>
    <row r="28" spans="2:4" x14ac:dyDescent="0.3">
      <c r="B28" t="s">
        <v>2</v>
      </c>
      <c r="C28" t="str">
        <f>"Are Sales Last Year &gt;="&amp;D32&amp;" AND Credit Rating &gt; "&amp;D33&amp;"?"</f>
        <v>Are Sales Last Year &gt;=1000000 AND Credit Rating &gt; 4?</v>
      </c>
    </row>
    <row r="29" spans="2:4" x14ac:dyDescent="0.3">
      <c r="B29" t="s">
        <v>350</v>
      </c>
      <c r="C29" t="s">
        <v>363</v>
      </c>
      <c r="D29" t="str">
        <f>"&gt;="&amp;D32</f>
        <v>&gt;=1000000</v>
      </c>
    </row>
    <row r="30" spans="2:4" x14ac:dyDescent="0.3">
      <c r="C30" t="s">
        <v>364</v>
      </c>
      <c r="D30" t="str">
        <f>"&gt;"&amp;D33</f>
        <v>&gt;4</v>
      </c>
    </row>
    <row r="31" spans="2:4" ht="5.4" customHeight="1" x14ac:dyDescent="0.3"/>
    <row r="32" spans="2:4" x14ac:dyDescent="0.3">
      <c r="C32" s="46" t="s">
        <v>337</v>
      </c>
      <c r="D32" s="20">
        <v>1000000</v>
      </c>
    </row>
    <row r="33" spans="2:6" x14ac:dyDescent="0.3">
      <c r="C33" s="46" t="s">
        <v>343</v>
      </c>
      <c r="D33" s="20">
        <v>4</v>
      </c>
    </row>
    <row r="34" spans="2:6" ht="5.4" customHeight="1" x14ac:dyDescent="0.3"/>
    <row r="35" spans="2:6" x14ac:dyDescent="0.3">
      <c r="B35" s="46" t="s">
        <v>338</v>
      </c>
      <c r="C35" s="46" t="s">
        <v>337</v>
      </c>
      <c r="D35" s="46" t="s">
        <v>339</v>
      </c>
      <c r="E35" s="46" t="s">
        <v>344</v>
      </c>
    </row>
    <row r="36" spans="2:6" x14ac:dyDescent="0.3">
      <c r="B36" s="20" t="s">
        <v>341</v>
      </c>
      <c r="C36" s="20">
        <v>2000000</v>
      </c>
      <c r="D36" s="20">
        <v>3.5</v>
      </c>
      <c r="E36" s="21"/>
      <c r="F36" s="9"/>
    </row>
    <row r="37" spans="2:6" x14ac:dyDescent="0.3">
      <c r="B37" s="20" t="s">
        <v>342</v>
      </c>
      <c r="C37" s="20">
        <v>1500000</v>
      </c>
      <c r="D37" s="20">
        <v>5.5</v>
      </c>
      <c r="E37" s="21"/>
    </row>
    <row r="39" spans="2:6" x14ac:dyDescent="0.3">
      <c r="B39" s="7" t="s">
        <v>351</v>
      </c>
    </row>
    <row r="40" spans="2:6" x14ac:dyDescent="0.3">
      <c r="B40" t="s">
        <v>352</v>
      </c>
    </row>
    <row r="41" spans="2:6" ht="5.4" customHeight="1" x14ac:dyDescent="0.3"/>
    <row r="42" spans="2:6" x14ac:dyDescent="0.3">
      <c r="B42" s="46" t="s">
        <v>354</v>
      </c>
      <c r="C42" s="20" t="s">
        <v>152</v>
      </c>
    </row>
    <row r="43" spans="2:6" ht="5.4" customHeight="1" x14ac:dyDescent="0.3"/>
    <row r="44" spans="2:6" x14ac:dyDescent="0.3">
      <c r="B44" t="s">
        <v>2</v>
      </c>
      <c r="C44" t="s">
        <v>353</v>
      </c>
    </row>
    <row r="45" spans="2:6" x14ac:dyDescent="0.3">
      <c r="B45" t="s">
        <v>331</v>
      </c>
      <c r="C45" t="str">
        <f>"=Quad"</f>
        <v>=Quad</v>
      </c>
    </row>
    <row r="46" spans="2:6" ht="5.4" customHeight="1" x14ac:dyDescent="0.3"/>
    <row r="47" spans="2:6" x14ac:dyDescent="0.3">
      <c r="B47" s="46" t="s">
        <v>146</v>
      </c>
      <c r="C47" s="46" t="s">
        <v>356</v>
      </c>
    </row>
    <row r="48" spans="2:6" x14ac:dyDescent="0.3">
      <c r="B48" s="20" t="s">
        <v>355</v>
      </c>
      <c r="C48" s="21"/>
      <c r="D48" s="9"/>
    </row>
    <row r="49" spans="2:6" x14ac:dyDescent="0.3">
      <c r="B49" s="20" t="s">
        <v>155</v>
      </c>
      <c r="C49" s="21"/>
    </row>
    <row r="50" spans="2:6" x14ac:dyDescent="0.3">
      <c r="B50" s="20" t="s">
        <v>152</v>
      </c>
      <c r="C50" s="21"/>
    </row>
    <row r="52" spans="2:6" x14ac:dyDescent="0.3">
      <c r="B52" s="7" t="s">
        <v>357</v>
      </c>
    </row>
    <row r="53" spans="2:6" x14ac:dyDescent="0.3">
      <c r="B53" t="s">
        <v>361</v>
      </c>
      <c r="D53" t="s">
        <v>377</v>
      </c>
    </row>
    <row r="54" spans="2:6" ht="5.4" customHeight="1" x14ac:dyDescent="0.3"/>
    <row r="55" spans="2:6" x14ac:dyDescent="0.3">
      <c r="B55" t="s">
        <v>2</v>
      </c>
      <c r="C55" t="s">
        <v>362</v>
      </c>
    </row>
    <row r="56" spans="2:6" x14ac:dyDescent="0.3">
      <c r="B56" t="s">
        <v>363</v>
      </c>
      <c r="C56" t="s">
        <v>365</v>
      </c>
    </row>
    <row r="57" spans="2:6" x14ac:dyDescent="0.3">
      <c r="C57" t="s">
        <v>366</v>
      </c>
    </row>
    <row r="58" spans="2:6" ht="5.4" customHeight="1" x14ac:dyDescent="0.3"/>
    <row r="59" spans="2:6" x14ac:dyDescent="0.3">
      <c r="B59" s="46" t="s">
        <v>358</v>
      </c>
      <c r="C59" s="46" t="s">
        <v>359</v>
      </c>
      <c r="D59" s="46" t="s">
        <v>360</v>
      </c>
      <c r="E59" s="46" t="s">
        <v>360</v>
      </c>
      <c r="F59" s="46" t="s">
        <v>378</v>
      </c>
    </row>
    <row r="60" spans="2:6" x14ac:dyDescent="0.3">
      <c r="B60" s="20">
        <v>2</v>
      </c>
      <c r="C60" s="20">
        <v>0</v>
      </c>
      <c r="D60" s="21"/>
      <c r="E60" s="21"/>
      <c r="F60" s="21"/>
    </row>
    <row r="61" spans="2:6" x14ac:dyDescent="0.3">
      <c r="B61" s="20">
        <v>0</v>
      </c>
      <c r="C61" s="20">
        <v>0</v>
      </c>
      <c r="D61" s="21"/>
      <c r="E61" s="21"/>
      <c r="F61" s="21"/>
    </row>
    <row r="62" spans="2:6" x14ac:dyDescent="0.3">
      <c r="B62" s="20">
        <v>-1</v>
      </c>
      <c r="C62" s="20">
        <v>43</v>
      </c>
      <c r="D62" s="21"/>
      <c r="E62" s="21"/>
      <c r="F62" s="21"/>
    </row>
    <row r="64" spans="2:6" x14ac:dyDescent="0.3">
      <c r="B64" t="s">
        <v>371</v>
      </c>
    </row>
    <row r="65" spans="2:7" x14ac:dyDescent="0.3">
      <c r="B65" t="s">
        <v>372</v>
      </c>
      <c r="G65" t="str" cm="1">
        <f t="array" aca="1" ref="G65" ca="1">ShowFormulas(G60)</f>
        <v/>
      </c>
    </row>
    <row r="66" spans="2:7" x14ac:dyDescent="0.3">
      <c r="B66" t="s">
        <v>379</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DFEA5-493E-4E64-A4E7-B25325F17440}">
  <sheetPr>
    <tabColor rgb="FFFF0000"/>
  </sheetPr>
  <dimension ref="B1:I66"/>
  <sheetViews>
    <sheetView zoomScale="115" zoomScaleNormal="115" workbookViewId="0"/>
  </sheetViews>
  <sheetFormatPr defaultRowHeight="14.4" x14ac:dyDescent="0.3"/>
  <cols>
    <col min="1" max="1" width="2" customWidth="1"/>
    <col min="2" max="2" width="15.5546875" customWidth="1"/>
    <col min="3" max="3" width="14.5546875" customWidth="1"/>
    <col min="4" max="4" width="12.44140625" customWidth="1"/>
    <col min="5" max="5" width="13.5546875" customWidth="1"/>
    <col min="6" max="6" width="11.21875" customWidth="1"/>
    <col min="7" max="7" width="4.88671875" customWidth="1"/>
    <col min="8" max="8" width="10.88671875" customWidth="1"/>
    <col min="9" max="9" width="11.6640625" customWidth="1"/>
    <col min="10" max="10" width="13.109375" bestFit="1" customWidth="1"/>
    <col min="12" max="12" width="16.33203125" customWidth="1"/>
  </cols>
  <sheetData>
    <row r="1" spans="2:9" ht="5.4" customHeight="1" x14ac:dyDescent="0.3"/>
    <row r="2" spans="2:9" x14ac:dyDescent="0.3">
      <c r="B2" s="7" t="s">
        <v>328</v>
      </c>
      <c r="F2" s="7" t="s">
        <v>374</v>
      </c>
    </row>
    <row r="3" spans="2:9" x14ac:dyDescent="0.3">
      <c r="B3" t="s">
        <v>347</v>
      </c>
      <c r="F3" t="s">
        <v>376</v>
      </c>
    </row>
    <row r="5" spans="2:9" x14ac:dyDescent="0.3">
      <c r="B5" t="s">
        <v>2</v>
      </c>
      <c r="C5" t="s">
        <v>345</v>
      </c>
      <c r="F5" s="46" t="s">
        <v>132</v>
      </c>
      <c r="H5" s="46" t="s">
        <v>331</v>
      </c>
      <c r="I5" s="20" t="str">
        <f>"&gt;="&amp;C9</f>
        <v>&gt;=50000</v>
      </c>
    </row>
    <row r="6" spans="2:9" x14ac:dyDescent="0.3">
      <c r="B6" t="s">
        <v>331</v>
      </c>
      <c r="C6" t="str">
        <f>"&gt;="&amp;C9</f>
        <v>&gt;=50000</v>
      </c>
      <c r="F6" s="20">
        <v>55000</v>
      </c>
      <c r="H6" s="46" t="s">
        <v>375</v>
      </c>
      <c r="I6" s="21">
        <f>COUNTIFS(F6:F9,I5)</f>
        <v>2</v>
      </c>
    </row>
    <row r="7" spans="2:9" x14ac:dyDescent="0.3">
      <c r="F7" s="20">
        <v>25000</v>
      </c>
    </row>
    <row r="8" spans="2:9" x14ac:dyDescent="0.3">
      <c r="B8" s="46" t="s">
        <v>329</v>
      </c>
      <c r="C8" s="126">
        <v>65000</v>
      </c>
      <c r="F8" s="20">
        <v>68500</v>
      </c>
    </row>
    <row r="9" spans="2:9" x14ac:dyDescent="0.3">
      <c r="B9" s="46" t="s">
        <v>330</v>
      </c>
      <c r="C9" s="126">
        <v>50000</v>
      </c>
      <c r="F9" s="20">
        <v>43050</v>
      </c>
    </row>
    <row r="10" spans="2:9" x14ac:dyDescent="0.3">
      <c r="B10" s="46" t="str">
        <f>FIXED(C8,0)&amp;"&gt;="&amp;FIXED(C9,0)&amp;"?"</f>
        <v>65,000&gt;=50,000?</v>
      </c>
      <c r="C10" s="21" t="b">
        <f>C8&gt;=C9</f>
        <v>1</v>
      </c>
      <c r="D10" s="9" t="str">
        <f ca="1">_xlfn.IFNA(_xlfn.FORMULATEXT(C10),"")</f>
        <v>=C8&gt;=C9</v>
      </c>
      <c r="H10" t="str">
        <f ca="1">_xlfn.IFNA(_xlfn.FORMULATEXT(I6),"")</f>
        <v>=COUNTIFS(F6:F9,I5)</v>
      </c>
    </row>
    <row r="12" spans="2:9" x14ac:dyDescent="0.3">
      <c r="B12" s="7" t="s">
        <v>336</v>
      </c>
    </row>
    <row r="13" spans="2:9" x14ac:dyDescent="0.3">
      <c r="B13" t="s">
        <v>333</v>
      </c>
    </row>
    <row r="14" spans="2:9" ht="5.4" customHeight="1" x14ac:dyDescent="0.3"/>
    <row r="15" spans="2:9" x14ac:dyDescent="0.3">
      <c r="B15" t="s">
        <v>2</v>
      </c>
      <c r="C15" t="s">
        <v>335</v>
      </c>
    </row>
    <row r="16" spans="2:9" x14ac:dyDescent="0.3">
      <c r="B16" t="s">
        <v>331</v>
      </c>
      <c r="C16" t="s">
        <v>346</v>
      </c>
    </row>
    <row r="17" spans="2:4" ht="5.4" customHeight="1" x14ac:dyDescent="0.3"/>
    <row r="18" spans="2:4" x14ac:dyDescent="0.3">
      <c r="B18" s="46" t="s">
        <v>149</v>
      </c>
      <c r="C18" s="46" t="s">
        <v>42</v>
      </c>
    </row>
    <row r="19" spans="2:4" x14ac:dyDescent="0.3">
      <c r="B19" s="20">
        <v>250</v>
      </c>
      <c r="C19" s="21" t="b" cm="1">
        <f t="array" ref="C19:C21">ISNUMBER(B19:B21)</f>
        <v>1</v>
      </c>
      <c r="D19" s="9" t="str">
        <f ca="1">_xlfn.IFNA(_xlfn.FORMULATEXT(C19),"")</f>
        <v>=ISNUMBER(B19:B21)</v>
      </c>
    </row>
    <row r="20" spans="2:4" x14ac:dyDescent="0.3">
      <c r="B20" s="127" t="s">
        <v>334</v>
      </c>
      <c r="C20" s="21" t="b">
        <v>0</v>
      </c>
    </row>
    <row r="21" spans="2:4" x14ac:dyDescent="0.3">
      <c r="B21" s="20">
        <v>100</v>
      </c>
      <c r="C21" s="21" t="b">
        <v>1</v>
      </c>
    </row>
    <row r="22" spans="2:4" x14ac:dyDescent="0.3">
      <c r="B22" s="21">
        <f>SUM(B19:B21)</f>
        <v>350</v>
      </c>
    </row>
    <row r="24" spans="2:4" x14ac:dyDescent="0.3">
      <c r="B24" s="7" t="s">
        <v>332</v>
      </c>
    </row>
    <row r="25" spans="2:4" x14ac:dyDescent="0.3">
      <c r="B25" t="s">
        <v>348</v>
      </c>
    </row>
    <row r="26" spans="2:4" x14ac:dyDescent="0.3">
      <c r="B26" t="s">
        <v>349</v>
      </c>
    </row>
    <row r="27" spans="2:4" ht="5.4" customHeight="1" x14ac:dyDescent="0.3"/>
    <row r="28" spans="2:4" x14ac:dyDescent="0.3">
      <c r="B28" t="s">
        <v>2</v>
      </c>
      <c r="C28" t="str">
        <f>"Are Sales Last Year &gt;="&amp;D32&amp;" AND Credit Rating &gt; "&amp;D33&amp;"?"</f>
        <v>Are Sales Last Year &gt;=1000000 AND Credit Rating &gt; 4?</v>
      </c>
    </row>
    <row r="29" spans="2:4" x14ac:dyDescent="0.3">
      <c r="B29" t="s">
        <v>350</v>
      </c>
      <c r="C29" t="s">
        <v>363</v>
      </c>
      <c r="D29" t="str">
        <f>"&gt;="&amp;D32</f>
        <v>&gt;=1000000</v>
      </c>
    </row>
    <row r="30" spans="2:4" x14ac:dyDescent="0.3">
      <c r="C30" t="s">
        <v>364</v>
      </c>
      <c r="D30" t="str">
        <f>"&gt;"&amp;D33</f>
        <v>&gt;4</v>
      </c>
    </row>
    <row r="31" spans="2:4" ht="5.4" customHeight="1" x14ac:dyDescent="0.3"/>
    <row r="32" spans="2:4" x14ac:dyDescent="0.3">
      <c r="C32" s="46" t="s">
        <v>337</v>
      </c>
      <c r="D32" s="20">
        <v>1000000</v>
      </c>
    </row>
    <row r="33" spans="2:6" x14ac:dyDescent="0.3">
      <c r="C33" s="46" t="s">
        <v>343</v>
      </c>
      <c r="D33" s="20">
        <v>4</v>
      </c>
    </row>
    <row r="34" spans="2:6" ht="5.4" customHeight="1" x14ac:dyDescent="0.3"/>
    <row r="35" spans="2:6" x14ac:dyDescent="0.3">
      <c r="B35" s="46" t="s">
        <v>338</v>
      </c>
      <c r="C35" s="46" t="s">
        <v>337</v>
      </c>
      <c r="D35" s="46" t="s">
        <v>339</v>
      </c>
      <c r="E35" s="46" t="s">
        <v>344</v>
      </c>
    </row>
    <row r="36" spans="2:6" x14ac:dyDescent="0.3">
      <c r="B36" s="20" t="s">
        <v>341</v>
      </c>
      <c r="C36" s="20">
        <v>2000000</v>
      </c>
      <c r="D36" s="20">
        <v>3.5</v>
      </c>
      <c r="E36" s="21" t="b">
        <f>AND(C36&gt;=$D$32,D36&gt;$D$33)</f>
        <v>0</v>
      </c>
      <c r="F36" s="9" t="str">
        <f ca="1">_xlfn.IFNA(_xlfn.FORMULATEXT(E36),"")</f>
        <v>=AND(C36&gt;=$D$32,D36&gt;$D$33)</v>
      </c>
    </row>
    <row r="37" spans="2:6" x14ac:dyDescent="0.3">
      <c r="B37" s="20" t="s">
        <v>342</v>
      </c>
      <c r="C37" s="20">
        <v>1500000</v>
      </c>
      <c r="D37" s="20">
        <v>5.5</v>
      </c>
      <c r="E37" s="21" t="b">
        <f>AND(C37&gt;=$D$32,D37&gt;$D$33)</f>
        <v>1</v>
      </c>
    </row>
    <row r="39" spans="2:6" x14ac:dyDescent="0.3">
      <c r="B39" s="7" t="s">
        <v>351</v>
      </c>
    </row>
    <row r="40" spans="2:6" x14ac:dyDescent="0.3">
      <c r="B40" t="s">
        <v>352</v>
      </c>
    </row>
    <row r="41" spans="2:6" ht="5.4" customHeight="1" x14ac:dyDescent="0.3"/>
    <row r="42" spans="2:6" x14ac:dyDescent="0.3">
      <c r="B42" s="46" t="s">
        <v>354</v>
      </c>
      <c r="C42" s="20" t="s">
        <v>152</v>
      </c>
    </row>
    <row r="43" spans="2:6" ht="5.4" customHeight="1" x14ac:dyDescent="0.3"/>
    <row r="44" spans="2:6" x14ac:dyDescent="0.3">
      <c r="B44" t="s">
        <v>2</v>
      </c>
      <c r="C44" t="s">
        <v>353</v>
      </c>
    </row>
    <row r="45" spans="2:6" x14ac:dyDescent="0.3">
      <c r="B45" t="s">
        <v>331</v>
      </c>
      <c r="C45" t="str">
        <f>"=Quad"</f>
        <v>=Quad</v>
      </c>
    </row>
    <row r="46" spans="2:6" ht="5.4" customHeight="1" x14ac:dyDescent="0.3"/>
    <row r="47" spans="2:6" x14ac:dyDescent="0.3">
      <c r="B47" s="46" t="s">
        <v>146</v>
      </c>
      <c r="C47" s="46" t="s">
        <v>356</v>
      </c>
    </row>
    <row r="48" spans="2:6" x14ac:dyDescent="0.3">
      <c r="B48" s="20" t="s">
        <v>355</v>
      </c>
      <c r="C48" s="21" t="b" cm="1">
        <f t="array" ref="C48:C50">B48:B50=C42</f>
        <v>1</v>
      </c>
      <c r="D48" s="9" t="str">
        <f ca="1">_xlfn.IFNA(_xlfn.FORMULATEXT(C48),"")</f>
        <v>=B48:B50=C42</v>
      </c>
    </row>
    <row r="49" spans="2:6" x14ac:dyDescent="0.3">
      <c r="B49" s="20" t="s">
        <v>155</v>
      </c>
      <c r="C49" s="21" t="b">
        <v>0</v>
      </c>
    </row>
    <row r="50" spans="2:6" x14ac:dyDescent="0.3">
      <c r="B50" s="20" t="s">
        <v>152</v>
      </c>
      <c r="C50" s="21" t="b">
        <v>1</v>
      </c>
    </row>
    <row r="52" spans="2:6" x14ac:dyDescent="0.3">
      <c r="B52" s="7" t="s">
        <v>357</v>
      </c>
    </row>
    <row r="53" spans="2:6" x14ac:dyDescent="0.3">
      <c r="B53" t="s">
        <v>361</v>
      </c>
      <c r="D53" t="s">
        <v>377</v>
      </c>
    </row>
    <row r="54" spans="2:6" ht="5.4" customHeight="1" x14ac:dyDescent="0.3"/>
    <row r="55" spans="2:6" x14ac:dyDescent="0.3">
      <c r="B55" t="s">
        <v>2</v>
      </c>
      <c r="C55" t="s">
        <v>362</v>
      </c>
    </row>
    <row r="56" spans="2:6" x14ac:dyDescent="0.3">
      <c r="B56" t="s">
        <v>363</v>
      </c>
      <c r="C56" t="s">
        <v>365</v>
      </c>
    </row>
    <row r="57" spans="2:6" x14ac:dyDescent="0.3">
      <c r="C57" t="s">
        <v>366</v>
      </c>
    </row>
    <row r="58" spans="2:6" ht="5.4" customHeight="1" x14ac:dyDescent="0.3"/>
    <row r="59" spans="2:6" x14ac:dyDescent="0.3">
      <c r="B59" s="46" t="s">
        <v>358</v>
      </c>
      <c r="C59" s="46" t="s">
        <v>359</v>
      </c>
      <c r="D59" s="46" t="s">
        <v>360</v>
      </c>
      <c r="E59" s="46" t="s">
        <v>360</v>
      </c>
      <c r="F59" s="46" t="s">
        <v>378</v>
      </c>
    </row>
    <row r="60" spans="2:6" x14ac:dyDescent="0.3">
      <c r="B60" s="20">
        <v>2</v>
      </c>
      <c r="C60" s="20">
        <v>0</v>
      </c>
      <c r="D60" s="21" t="b">
        <f>AND(B60&lt;&gt;0,C60&lt;&gt;0)</f>
        <v>0</v>
      </c>
      <c r="E60" s="21" t="b">
        <f>AND(B60:C60)</f>
        <v>0</v>
      </c>
      <c r="F60" s="21" cm="1">
        <f t="array" ref="F60:F62">E60:E62+0</f>
        <v>0</v>
      </c>
    </row>
    <row r="61" spans="2:6" x14ac:dyDescent="0.3">
      <c r="B61" s="20">
        <v>0</v>
      </c>
      <c r="C61" s="20">
        <v>0</v>
      </c>
      <c r="D61" s="21" t="b">
        <f t="shared" ref="D61:D62" si="0">AND(B61&lt;&gt;0,C61&lt;&gt;0)</f>
        <v>0</v>
      </c>
      <c r="E61" s="21" t="b">
        <f>AND(B61:C61)</f>
        <v>0</v>
      </c>
      <c r="F61" s="21">
        <v>0</v>
      </c>
    </row>
    <row r="62" spans="2:6" x14ac:dyDescent="0.3">
      <c r="B62" s="20">
        <v>-1</v>
      </c>
      <c r="C62" s="20">
        <v>43</v>
      </c>
      <c r="D62" s="21" t="b">
        <f t="shared" si="0"/>
        <v>1</v>
      </c>
      <c r="E62" s="21" t="b">
        <f>AND(B62:C62)</f>
        <v>1</v>
      </c>
      <c r="F62" s="21">
        <v>1</v>
      </c>
    </row>
    <row r="64" spans="2:6" x14ac:dyDescent="0.3">
      <c r="B64" t="s">
        <v>371</v>
      </c>
      <c r="E64" t="str">
        <f ca="1">_xlfn.IFNA(_xlfn.FORMULATEXT(D60),"")</f>
        <v>=AND(B60&lt;&gt;0,C60&lt;&gt;0)</v>
      </c>
    </row>
    <row r="65" spans="2:7" x14ac:dyDescent="0.3">
      <c r="B65" t="s">
        <v>372</v>
      </c>
      <c r="E65" t="str">
        <f ca="1">_xlfn.IFNA(_xlfn.FORMULATEXT(E60),"")</f>
        <v>=AND(B60:C60)</v>
      </c>
      <c r="G65" t="str" cm="1">
        <f t="array" aca="1" ref="G65" ca="1">ShowFormulas(G60)</f>
        <v/>
      </c>
    </row>
    <row r="66" spans="2:7" x14ac:dyDescent="0.3">
      <c r="B66" t="s">
        <v>379</v>
      </c>
      <c r="E66" t="str">
        <f ca="1">_xlfn.IFNA(_xlfn.FORMULATEXT(F60),"")</f>
        <v>=E60:E62+0</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31DF6-3E8B-4737-8664-A0B0D5D0BDA5}">
  <sheetPr>
    <tabColor rgb="FF0000FF"/>
  </sheetPr>
  <dimension ref="A1:S40"/>
  <sheetViews>
    <sheetView zoomScale="115" zoomScaleNormal="115" workbookViewId="0"/>
  </sheetViews>
  <sheetFormatPr defaultRowHeight="14.4" x14ac:dyDescent="0.3"/>
  <cols>
    <col min="1" max="1" width="6.109375" customWidth="1"/>
    <col min="2" max="2" width="18.88671875" customWidth="1"/>
    <col min="3" max="3" width="15.77734375" customWidth="1"/>
    <col min="4" max="4" width="17" customWidth="1"/>
    <col min="5" max="5" width="2" customWidth="1"/>
    <col min="6" max="6" width="13.21875" customWidth="1"/>
    <col min="7" max="7" width="7.5546875" bestFit="1" customWidth="1"/>
    <col min="8" max="8" width="10.77734375" customWidth="1"/>
    <col min="9" max="10" width="7.88671875" customWidth="1"/>
    <col min="11" max="11" width="15.33203125" customWidth="1"/>
    <col min="12" max="12" width="25.6640625" customWidth="1"/>
  </cols>
  <sheetData>
    <row r="1" spans="1:14" ht="9" customHeight="1" x14ac:dyDescent="0.3">
      <c r="A1" s="42"/>
      <c r="B1" s="44"/>
      <c r="C1" s="44"/>
      <c r="E1" s="42"/>
      <c r="F1" s="42"/>
      <c r="G1" s="42"/>
      <c r="H1" s="42"/>
      <c r="I1" s="42"/>
      <c r="J1" s="42"/>
      <c r="K1" s="42"/>
      <c r="L1" s="42"/>
      <c r="M1" s="44"/>
      <c r="N1" s="44"/>
    </row>
    <row r="2" spans="1:14" ht="23.4" x14ac:dyDescent="0.45">
      <c r="A2" s="42"/>
      <c r="B2" s="43" t="s">
        <v>109</v>
      </c>
      <c r="C2" s="44"/>
      <c r="E2" s="42"/>
      <c r="F2" s="42"/>
      <c r="G2" s="42"/>
      <c r="H2" s="42"/>
      <c r="I2" s="42"/>
      <c r="J2" s="42"/>
      <c r="K2" s="42"/>
      <c r="L2" s="42"/>
      <c r="M2" s="44"/>
      <c r="N2" s="44"/>
    </row>
    <row r="3" spans="1:14" ht="5.4" customHeight="1" x14ac:dyDescent="0.3">
      <c r="A3" s="42"/>
      <c r="B3" s="44"/>
      <c r="C3" s="44"/>
      <c r="E3" s="42"/>
      <c r="F3" s="42"/>
      <c r="G3" s="42"/>
      <c r="H3" s="42"/>
      <c r="I3" s="42"/>
      <c r="J3" s="42"/>
      <c r="K3" s="42"/>
      <c r="L3" s="42"/>
      <c r="M3" s="44"/>
      <c r="N3" s="44"/>
    </row>
    <row r="4" spans="1:14" x14ac:dyDescent="0.3">
      <c r="A4" s="45" t="s">
        <v>187</v>
      </c>
      <c r="B4" s="42" t="str">
        <f>"Contract reads: If employee has sales of "&amp;DOLLAR(C9,0)&amp;" or more they get a bonus."</f>
        <v>Contract reads: If employee has sales of $50,000 or more they get a bonus.</v>
      </c>
      <c r="C4" s="42"/>
      <c r="E4" s="42"/>
      <c r="F4" s="42"/>
      <c r="G4" s="42"/>
      <c r="H4" s="42"/>
      <c r="I4" s="42"/>
      <c r="J4" s="42"/>
      <c r="K4" s="42"/>
      <c r="L4" s="42"/>
      <c r="M4" s="44"/>
      <c r="N4" s="44"/>
    </row>
    <row r="5" spans="1:14" x14ac:dyDescent="0.3">
      <c r="A5" s="42"/>
      <c r="B5" s="42" t="s">
        <v>110</v>
      </c>
      <c r="C5" s="42"/>
      <c r="E5" s="42"/>
      <c r="F5" s="42"/>
      <c r="G5" s="42"/>
      <c r="H5" s="42"/>
      <c r="I5" s="42"/>
      <c r="J5" s="42"/>
      <c r="K5" s="42"/>
      <c r="L5" s="42"/>
      <c r="M5" s="44"/>
      <c r="N5" s="44"/>
    </row>
    <row r="6" spans="1:14" x14ac:dyDescent="0.3">
      <c r="A6" s="42"/>
      <c r="B6" s="42" t="str">
        <f>"2) Are your sales greater than or equal to "&amp;DOLLAR(C9,0)&amp;"? TRUE gets you "&amp;DOLLAR(C8)&amp;", FALSE gets you $0"</f>
        <v>2) Are your sales greater than or equal to $50,000? TRUE gets you $500.00, FALSE gets you $0</v>
      </c>
      <c r="C6" s="42"/>
      <c r="E6" s="42"/>
      <c r="F6" s="42"/>
      <c r="G6" s="42"/>
      <c r="H6" s="42"/>
      <c r="I6" s="42"/>
      <c r="J6" s="42"/>
      <c r="K6" s="42"/>
      <c r="L6" s="42"/>
      <c r="M6" s="44"/>
      <c r="N6" s="44"/>
    </row>
    <row r="7" spans="1:14" ht="5.4" customHeight="1" x14ac:dyDescent="0.3">
      <c r="A7" s="42"/>
      <c r="B7" s="42"/>
      <c r="C7" s="42"/>
      <c r="E7" s="42"/>
      <c r="F7" s="42"/>
      <c r="G7" s="42"/>
      <c r="H7" s="42"/>
      <c r="I7" s="42"/>
      <c r="J7" s="42"/>
      <c r="K7" s="42"/>
      <c r="L7" s="42"/>
      <c r="M7" s="44"/>
      <c r="N7" s="44"/>
    </row>
    <row r="8" spans="1:14" x14ac:dyDescent="0.3">
      <c r="A8" s="42"/>
      <c r="B8" s="46" t="s">
        <v>390</v>
      </c>
      <c r="C8" s="126">
        <v>500</v>
      </c>
      <c r="E8" s="42"/>
      <c r="F8" s="42"/>
      <c r="G8" s="42"/>
      <c r="H8" s="42"/>
      <c r="I8" s="42"/>
      <c r="J8" s="42"/>
      <c r="K8" s="42"/>
      <c r="L8" s="42"/>
      <c r="M8" s="44"/>
      <c r="N8" s="44"/>
    </row>
    <row r="9" spans="1:14" x14ac:dyDescent="0.3">
      <c r="A9" s="42"/>
      <c r="B9" s="46" t="s">
        <v>330</v>
      </c>
      <c r="C9" s="126">
        <v>50000</v>
      </c>
      <c r="E9" s="42"/>
      <c r="F9" s="42"/>
      <c r="G9" s="42"/>
      <c r="H9" s="42"/>
      <c r="I9" s="42"/>
      <c r="J9" s="42"/>
      <c r="K9" s="42"/>
      <c r="L9" s="42"/>
      <c r="M9" s="44"/>
      <c r="N9" s="44"/>
    </row>
    <row r="10" spans="1:14" x14ac:dyDescent="0.3">
      <c r="B10" s="46" t="s">
        <v>329</v>
      </c>
      <c r="C10" s="126">
        <v>65000</v>
      </c>
      <c r="E10" s="42"/>
      <c r="F10" s="42"/>
      <c r="G10" s="42"/>
      <c r="H10" s="42"/>
      <c r="I10" s="42"/>
      <c r="J10" s="42"/>
      <c r="K10" s="42"/>
      <c r="L10" s="42"/>
      <c r="M10" s="44"/>
      <c r="N10" s="44"/>
    </row>
    <row r="11" spans="1:14" x14ac:dyDescent="0.3">
      <c r="A11" s="42"/>
      <c r="B11" s="46" t="s">
        <v>111</v>
      </c>
      <c r="C11" s="128"/>
      <c r="E11" s="42"/>
      <c r="G11" s="42"/>
      <c r="H11" s="42"/>
      <c r="I11" s="42"/>
      <c r="J11" s="42"/>
      <c r="K11" s="42"/>
      <c r="L11" s="42"/>
      <c r="M11" s="44"/>
      <c r="N11" s="44"/>
    </row>
    <row r="12" spans="1:14" x14ac:dyDescent="0.3">
      <c r="A12" s="42"/>
      <c r="B12" s="46" t="s">
        <v>391</v>
      </c>
      <c r="C12" s="128"/>
      <c r="E12" s="42"/>
      <c r="G12" s="42"/>
      <c r="H12" s="42"/>
      <c r="J12" s="42"/>
      <c r="K12" s="44"/>
      <c r="L12" s="44"/>
      <c r="M12" s="44"/>
      <c r="N12" s="44"/>
    </row>
    <row r="13" spans="1:14" x14ac:dyDescent="0.3">
      <c r="A13" s="42"/>
      <c r="B13" s="42"/>
      <c r="C13" s="42"/>
      <c r="E13" s="42"/>
      <c r="F13" t="s">
        <v>140</v>
      </c>
      <c r="G13" s="42"/>
      <c r="H13" s="42"/>
      <c r="I13" s="42"/>
      <c r="J13" s="42"/>
      <c r="K13" s="42"/>
      <c r="L13" s="42"/>
      <c r="M13" s="44"/>
      <c r="N13" s="44"/>
    </row>
    <row r="14" spans="1:14" ht="5.4" customHeight="1" x14ac:dyDescent="0.3">
      <c r="A14" s="42"/>
      <c r="B14" s="42"/>
      <c r="C14" s="42"/>
      <c r="D14" s="42"/>
      <c r="E14" s="42"/>
      <c r="G14" s="42"/>
      <c r="H14" s="42"/>
      <c r="I14" s="42"/>
      <c r="J14" s="42"/>
      <c r="K14" s="42"/>
      <c r="L14" s="42"/>
      <c r="M14" s="44"/>
      <c r="N14" s="44"/>
    </row>
    <row r="15" spans="1:14" x14ac:dyDescent="0.3">
      <c r="A15" s="45" t="s">
        <v>215</v>
      </c>
      <c r="B15" s="42" t="s">
        <v>113</v>
      </c>
      <c r="C15" s="42"/>
      <c r="E15" s="42"/>
      <c r="F15" s="42"/>
      <c r="G15" s="42"/>
      <c r="H15" s="42"/>
      <c r="I15" s="42"/>
      <c r="J15" s="42"/>
      <c r="K15" s="42"/>
      <c r="L15" s="42"/>
      <c r="M15" s="44"/>
      <c r="N15" s="44"/>
    </row>
    <row r="16" spans="1:14" x14ac:dyDescent="0.3">
      <c r="A16" s="42"/>
      <c r="B16" s="42" t="s">
        <v>114</v>
      </c>
      <c r="C16" s="42"/>
      <c r="E16" s="42"/>
      <c r="F16" s="42"/>
      <c r="G16" s="42"/>
      <c r="H16" s="42"/>
      <c r="I16" s="42"/>
      <c r="J16" s="42"/>
      <c r="K16" s="42"/>
      <c r="L16" s="42"/>
      <c r="M16" s="44"/>
      <c r="N16" s="44"/>
    </row>
    <row r="17" spans="1:14" ht="5.4" customHeight="1" x14ac:dyDescent="0.3">
      <c r="A17" s="44"/>
      <c r="B17" s="44"/>
      <c r="C17" s="44"/>
      <c r="E17" s="44"/>
      <c r="F17" s="44"/>
      <c r="G17" s="44"/>
      <c r="H17" s="44"/>
      <c r="I17" s="44"/>
      <c r="J17" s="44"/>
      <c r="K17" s="44"/>
      <c r="L17" s="44"/>
      <c r="M17" s="44"/>
      <c r="N17" s="44"/>
    </row>
    <row r="18" spans="1:14" x14ac:dyDescent="0.3">
      <c r="B18" s="48" t="s">
        <v>115</v>
      </c>
      <c r="C18" s="48" t="s">
        <v>116</v>
      </c>
      <c r="E18" s="42"/>
      <c r="F18" s="42"/>
      <c r="G18" s="44"/>
      <c r="H18" s="44"/>
      <c r="I18" s="44"/>
      <c r="J18" s="44"/>
      <c r="K18" s="44"/>
      <c r="L18" s="44"/>
      <c r="M18" s="44"/>
      <c r="N18" s="44"/>
    </row>
    <row r="19" spans="1:14" x14ac:dyDescent="0.3">
      <c r="A19" s="44"/>
      <c r="B19" s="47">
        <v>58</v>
      </c>
      <c r="C19" s="47">
        <v>58</v>
      </c>
      <c r="E19" s="42"/>
      <c r="F19" s="42"/>
      <c r="G19" s="44"/>
      <c r="H19" s="44"/>
      <c r="I19" s="44"/>
      <c r="J19" s="44"/>
      <c r="K19" s="44"/>
      <c r="L19" s="44"/>
      <c r="M19" s="44"/>
      <c r="N19" s="44"/>
    </row>
    <row r="20" spans="1:14" x14ac:dyDescent="0.3">
      <c r="A20" s="44"/>
      <c r="B20" s="47">
        <v>43</v>
      </c>
      <c r="C20" s="47">
        <v>43</v>
      </c>
      <c r="E20" s="42"/>
      <c r="F20" s="42"/>
      <c r="G20" s="44"/>
      <c r="H20" s="44"/>
      <c r="I20" s="44"/>
      <c r="J20" s="44"/>
      <c r="K20" s="44"/>
      <c r="L20" s="44"/>
      <c r="M20" s="44"/>
      <c r="N20" s="44"/>
    </row>
    <row r="21" spans="1:14" x14ac:dyDescent="0.3">
      <c r="A21" s="44"/>
      <c r="B21" s="47">
        <v>21.001000000000001</v>
      </c>
      <c r="C21" s="47">
        <v>21</v>
      </c>
      <c r="E21" s="42"/>
      <c r="F21" s="42"/>
      <c r="G21" s="44"/>
      <c r="H21" s="44"/>
      <c r="I21" s="44"/>
      <c r="J21" s="44"/>
      <c r="K21" s="44"/>
      <c r="L21" s="44"/>
      <c r="M21" s="44"/>
      <c r="N21" s="44"/>
    </row>
    <row r="22" spans="1:14" ht="15" thickBot="1" x14ac:dyDescent="0.35">
      <c r="A22" s="44"/>
      <c r="B22" s="49"/>
      <c r="C22" s="49"/>
      <c r="E22" s="42"/>
      <c r="I22" s="44"/>
      <c r="J22" s="44"/>
      <c r="K22" s="44"/>
      <c r="L22" s="44"/>
      <c r="M22" s="44"/>
      <c r="N22" s="44"/>
    </row>
    <row r="23" spans="1:14" ht="15" thickBot="1" x14ac:dyDescent="0.35">
      <c r="A23" s="44"/>
      <c r="B23" s="51">
        <f>SUM(B19:B22)</f>
        <v>122.001</v>
      </c>
      <c r="C23" s="51">
        <f>SUM(C19:C22)</f>
        <v>122</v>
      </c>
      <c r="E23" s="42"/>
      <c r="J23" s="44"/>
      <c r="K23" s="44"/>
      <c r="M23" s="44"/>
      <c r="N23" s="44"/>
    </row>
    <row r="24" spans="1:14" ht="15" thickTop="1" x14ac:dyDescent="0.3">
      <c r="A24" s="44"/>
      <c r="B24" s="42"/>
      <c r="C24" s="42"/>
      <c r="E24" s="42"/>
      <c r="J24" s="44"/>
      <c r="K24" s="44"/>
      <c r="L24" s="44"/>
      <c r="M24" s="44"/>
      <c r="N24" s="44"/>
    </row>
    <row r="25" spans="1:14" x14ac:dyDescent="0.3">
      <c r="B25" t="s">
        <v>117</v>
      </c>
      <c r="C25" s="50"/>
    </row>
    <row r="26" spans="1:14" x14ac:dyDescent="0.3">
      <c r="B26" t="s">
        <v>137</v>
      </c>
      <c r="C26" s="50"/>
    </row>
    <row r="27" spans="1:14" x14ac:dyDescent="0.3">
      <c r="C27" s="42"/>
      <c r="F27" t="s">
        <v>141</v>
      </c>
    </row>
    <row r="28" spans="1:14" ht="5.4" customHeight="1" x14ac:dyDescent="0.3"/>
    <row r="29" spans="1:14" x14ac:dyDescent="0.3">
      <c r="A29" s="45" t="s">
        <v>216</v>
      </c>
      <c r="B29" t="s">
        <v>138</v>
      </c>
    </row>
    <row r="30" spans="1:14" x14ac:dyDescent="0.3">
      <c r="B30" t="s">
        <v>139</v>
      </c>
    </row>
    <row r="31" spans="1:14" ht="5.4" customHeight="1" x14ac:dyDescent="0.3"/>
    <row r="32" spans="1:14" x14ac:dyDescent="0.3">
      <c r="B32" s="56" t="s">
        <v>392</v>
      </c>
      <c r="C32" s="56" t="s">
        <v>135</v>
      </c>
      <c r="D32" s="57" t="s">
        <v>136</v>
      </c>
    </row>
    <row r="33" spans="1:19" x14ac:dyDescent="0.3">
      <c r="B33" s="129">
        <v>30000</v>
      </c>
      <c r="C33" s="20">
        <v>0.05</v>
      </c>
      <c r="D33" s="20">
        <v>0.01</v>
      </c>
    </row>
    <row r="34" spans="1:19" ht="5.4" customHeight="1" x14ac:dyDescent="0.3"/>
    <row r="35" spans="1:19" ht="28.8" x14ac:dyDescent="0.3">
      <c r="A35" s="44"/>
      <c r="B35" s="17" t="s">
        <v>149</v>
      </c>
      <c r="C35" s="55" t="s">
        <v>133</v>
      </c>
      <c r="P35" t="str">
        <f ca="1">IF(_xlfn.ISFORMULA(C36),_xlfn.FORMULATEXT(C36),"")</f>
        <v/>
      </c>
      <c r="R35" s="44"/>
      <c r="S35" s="44"/>
    </row>
    <row r="36" spans="1:19" x14ac:dyDescent="0.3">
      <c r="B36" s="130">
        <v>17382</v>
      </c>
      <c r="C36" s="59"/>
      <c r="R36" s="44"/>
      <c r="S36" s="44"/>
    </row>
    <row r="37" spans="1:19" x14ac:dyDescent="0.3">
      <c r="A37" s="44"/>
      <c r="B37" s="130">
        <v>19504</v>
      </c>
      <c r="C37" s="59"/>
      <c r="F37" t="s">
        <v>142</v>
      </c>
      <c r="R37" s="44"/>
      <c r="S37" s="44"/>
    </row>
    <row r="38" spans="1:19" x14ac:dyDescent="0.3">
      <c r="A38" s="44"/>
      <c r="B38" s="130">
        <v>29999.99</v>
      </c>
      <c r="C38" s="59"/>
      <c r="R38" s="44"/>
      <c r="S38" s="44"/>
    </row>
    <row r="39" spans="1:19" x14ac:dyDescent="0.3">
      <c r="A39" s="44"/>
      <c r="B39" s="130">
        <v>30000.01</v>
      </c>
      <c r="C39" s="59"/>
      <c r="R39" s="44"/>
      <c r="S39" s="44"/>
    </row>
    <row r="40" spans="1:19" x14ac:dyDescent="0.3">
      <c r="A40" s="44"/>
      <c r="B40" s="130">
        <v>16081</v>
      </c>
      <c r="C40" s="59"/>
      <c r="R40" s="44"/>
      <c r="S40" s="4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92417-4E29-4CBC-A1C9-5F8DECCFE9A6}">
  <sheetPr>
    <tabColor rgb="FFFF0000"/>
  </sheetPr>
  <dimension ref="A1:S40"/>
  <sheetViews>
    <sheetView zoomScale="85" zoomScaleNormal="85" workbookViewId="0"/>
  </sheetViews>
  <sheetFormatPr defaultRowHeight="14.4" x14ac:dyDescent="0.3"/>
  <cols>
    <col min="1" max="1" width="6.109375" customWidth="1"/>
    <col min="2" max="2" width="18.88671875" customWidth="1"/>
    <col min="3" max="3" width="15.77734375" customWidth="1"/>
    <col min="4" max="4" width="17" customWidth="1"/>
    <col min="5" max="5" width="2" customWidth="1"/>
    <col min="6" max="6" width="13.21875" customWidth="1"/>
    <col min="7" max="7" width="7.5546875" bestFit="1" customWidth="1"/>
    <col min="8" max="8" width="10.77734375" customWidth="1"/>
    <col min="9" max="10" width="7.88671875" customWidth="1"/>
    <col min="11" max="11" width="15.33203125" customWidth="1"/>
    <col min="12" max="12" width="25.6640625" customWidth="1"/>
  </cols>
  <sheetData>
    <row r="1" spans="1:14" ht="9" customHeight="1" x14ac:dyDescent="0.3">
      <c r="A1" s="42"/>
      <c r="B1" s="44"/>
      <c r="C1" s="44"/>
      <c r="E1" s="42"/>
      <c r="F1" s="42"/>
      <c r="G1" s="42"/>
      <c r="H1" s="42"/>
      <c r="I1" s="42"/>
      <c r="J1" s="42"/>
      <c r="K1" s="42"/>
      <c r="L1" s="42"/>
      <c r="M1" s="44"/>
      <c r="N1" s="44"/>
    </row>
    <row r="2" spans="1:14" ht="23.4" x14ac:dyDescent="0.45">
      <c r="A2" s="42"/>
      <c r="B2" s="43" t="s">
        <v>109</v>
      </c>
      <c r="C2" s="44"/>
      <c r="E2" s="42"/>
      <c r="F2" s="42"/>
      <c r="G2" s="42"/>
      <c r="H2" s="42"/>
      <c r="I2" s="42"/>
      <c r="J2" s="42"/>
      <c r="K2" s="42"/>
      <c r="L2" s="42"/>
      <c r="M2" s="44"/>
      <c r="N2" s="44"/>
    </row>
    <row r="3" spans="1:14" ht="5.4" customHeight="1" x14ac:dyDescent="0.3">
      <c r="A3" s="42"/>
      <c r="B3" s="44"/>
      <c r="C3" s="44"/>
      <c r="E3" s="42"/>
      <c r="F3" s="42"/>
      <c r="G3" s="42"/>
      <c r="H3" s="42"/>
      <c r="I3" s="42"/>
      <c r="J3" s="42"/>
      <c r="K3" s="42"/>
      <c r="L3" s="42"/>
      <c r="M3" s="44"/>
      <c r="N3" s="44"/>
    </row>
    <row r="4" spans="1:14" x14ac:dyDescent="0.3">
      <c r="A4" s="45" t="s">
        <v>187</v>
      </c>
      <c r="B4" s="42" t="str">
        <f>"Contract reads: If employee has sales of "&amp;DOLLAR(C9,0)&amp;" or more they get a bonus."</f>
        <v>Contract reads: If employee has sales of $50,000 or more they get a bonus.</v>
      </c>
      <c r="C4" s="42"/>
      <c r="E4" s="42"/>
      <c r="F4" s="42"/>
      <c r="G4" s="42"/>
      <c r="H4" s="42"/>
      <c r="I4" s="42"/>
      <c r="J4" s="42"/>
      <c r="K4" s="42"/>
      <c r="L4" s="42"/>
      <c r="M4" s="44"/>
      <c r="N4" s="44"/>
    </row>
    <row r="5" spans="1:14" x14ac:dyDescent="0.3">
      <c r="A5" s="42"/>
      <c r="B5" s="42" t="s">
        <v>110</v>
      </c>
      <c r="C5" s="42"/>
      <c r="E5" s="42"/>
      <c r="F5" s="42"/>
      <c r="G5" s="42"/>
      <c r="H5" s="42"/>
      <c r="I5" s="42"/>
      <c r="J5" s="42"/>
      <c r="K5" s="42"/>
      <c r="L5" s="42"/>
      <c r="M5" s="44"/>
      <c r="N5" s="44"/>
    </row>
    <row r="6" spans="1:14" x14ac:dyDescent="0.3">
      <c r="A6" s="42"/>
      <c r="B6" s="42" t="str">
        <f>"2) Are your sales greater than or equal to "&amp;DOLLAR(C9,0)&amp;"? TRUE gets you "&amp;DOLLAR(C8)&amp;", FALSE gets you $0"</f>
        <v>2) Are your sales greater than or equal to $50,000? TRUE gets you $500.00, FALSE gets you $0</v>
      </c>
      <c r="C6" s="42"/>
      <c r="E6" s="42"/>
      <c r="F6" s="42"/>
      <c r="G6" s="42"/>
      <c r="H6" s="42"/>
      <c r="I6" s="42"/>
      <c r="J6" s="42"/>
      <c r="K6" s="42"/>
      <c r="L6" s="42"/>
      <c r="M6" s="44"/>
      <c r="N6" s="44"/>
    </row>
    <row r="7" spans="1:14" ht="5.4" customHeight="1" x14ac:dyDescent="0.3">
      <c r="A7" s="42"/>
      <c r="B7" s="42"/>
      <c r="C7" s="42"/>
      <c r="E7" s="42"/>
      <c r="F7" s="42"/>
      <c r="G7" s="42"/>
      <c r="H7" s="42"/>
      <c r="I7" s="42"/>
      <c r="J7" s="42"/>
      <c r="K7" s="42"/>
      <c r="L7" s="42"/>
      <c r="M7" s="44"/>
      <c r="N7" s="44"/>
    </row>
    <row r="8" spans="1:14" x14ac:dyDescent="0.3">
      <c r="A8" s="42"/>
      <c r="B8" s="46" t="s">
        <v>390</v>
      </c>
      <c r="C8" s="126">
        <v>500</v>
      </c>
      <c r="E8" s="42"/>
      <c r="F8" s="42"/>
      <c r="G8" s="42"/>
      <c r="H8" s="42"/>
      <c r="I8" s="42"/>
      <c r="J8" s="42"/>
      <c r="K8" s="42"/>
      <c r="L8" s="42"/>
      <c r="M8" s="44"/>
      <c r="N8" s="44"/>
    </row>
    <row r="9" spans="1:14" x14ac:dyDescent="0.3">
      <c r="A9" s="42"/>
      <c r="B9" s="46" t="s">
        <v>330</v>
      </c>
      <c r="C9" s="126">
        <v>50000</v>
      </c>
      <c r="E9" s="42"/>
      <c r="F9" s="42"/>
      <c r="G9" s="42"/>
      <c r="H9" s="42"/>
      <c r="I9" s="42"/>
      <c r="J9" s="42"/>
      <c r="K9" s="42"/>
      <c r="L9" s="42"/>
      <c r="M9" s="44"/>
      <c r="N9" s="44"/>
    </row>
    <row r="10" spans="1:14" x14ac:dyDescent="0.3">
      <c r="B10" s="46" t="s">
        <v>329</v>
      </c>
      <c r="C10" s="126">
        <v>65000</v>
      </c>
      <c r="E10" s="42"/>
      <c r="F10" s="42"/>
      <c r="G10" s="42"/>
      <c r="H10" s="42"/>
      <c r="I10" s="42"/>
      <c r="J10" s="42"/>
      <c r="K10" s="42"/>
      <c r="L10" s="42"/>
      <c r="M10" s="44"/>
      <c r="N10" s="44"/>
    </row>
    <row r="11" spans="1:14" x14ac:dyDescent="0.3">
      <c r="A11" s="42"/>
      <c r="B11" s="46" t="s">
        <v>111</v>
      </c>
      <c r="C11" s="128" t="b">
        <f>C10&gt;=C9</f>
        <v>1</v>
      </c>
      <c r="E11" s="42"/>
      <c r="F11" t="str">
        <f ca="1">_xlfn.IFNA(_xlfn.FORMULATEXT(C11),"")</f>
        <v>=C10&gt;=C9</v>
      </c>
      <c r="G11" s="42"/>
      <c r="H11" s="42"/>
      <c r="I11" s="42"/>
      <c r="J11" s="42"/>
      <c r="K11" s="42"/>
      <c r="L11" s="42"/>
      <c r="M11" s="44"/>
      <c r="N11" s="44"/>
    </row>
    <row r="12" spans="1:14" x14ac:dyDescent="0.3">
      <c r="A12" s="42"/>
      <c r="B12" s="46" t="s">
        <v>391</v>
      </c>
      <c r="C12" s="128">
        <f>IF(C10&gt;=C9,C8,0)</f>
        <v>500</v>
      </c>
      <c r="E12" s="42"/>
      <c r="F12" t="str">
        <f ca="1">_xlfn.IFNA(_xlfn.FORMULATEXT(C12),"")</f>
        <v>=IF(C10&gt;=C9,C8,0)</v>
      </c>
      <c r="G12" s="42"/>
      <c r="H12" s="42"/>
      <c r="J12" s="42"/>
      <c r="K12" s="44"/>
      <c r="L12" s="44"/>
      <c r="M12" s="44"/>
      <c r="N12" s="44"/>
    </row>
    <row r="13" spans="1:14" x14ac:dyDescent="0.3">
      <c r="A13" s="42"/>
      <c r="B13" s="42"/>
      <c r="C13" s="42"/>
      <c r="E13" s="42"/>
      <c r="F13" t="s">
        <v>140</v>
      </c>
      <c r="G13" s="42"/>
      <c r="H13" s="42"/>
      <c r="I13" s="42"/>
      <c r="J13" s="42"/>
      <c r="K13" s="42"/>
      <c r="L13" s="42"/>
      <c r="M13" s="44"/>
      <c r="N13" s="44"/>
    </row>
    <row r="14" spans="1:14" ht="5.4" customHeight="1" x14ac:dyDescent="0.3">
      <c r="A14" s="42"/>
      <c r="B14" s="42"/>
      <c r="C14" s="42"/>
      <c r="D14" s="42"/>
      <c r="E14" s="42"/>
      <c r="G14" s="42"/>
      <c r="H14" s="42"/>
      <c r="I14" s="42"/>
      <c r="J14" s="42"/>
      <c r="K14" s="42"/>
      <c r="L14" s="42"/>
      <c r="M14" s="44"/>
      <c r="N14" s="44"/>
    </row>
    <row r="15" spans="1:14" x14ac:dyDescent="0.3">
      <c r="A15" s="45" t="s">
        <v>215</v>
      </c>
      <c r="B15" s="42" t="s">
        <v>113</v>
      </c>
      <c r="C15" s="42"/>
      <c r="E15" s="42"/>
      <c r="F15" s="42"/>
      <c r="G15" s="42"/>
      <c r="H15" s="42"/>
      <c r="I15" s="42"/>
      <c r="J15" s="42"/>
      <c r="K15" s="42"/>
      <c r="L15" s="42"/>
      <c r="M15" s="44"/>
      <c r="N15" s="44"/>
    </row>
    <row r="16" spans="1:14" x14ac:dyDescent="0.3">
      <c r="A16" s="42"/>
      <c r="B16" s="42" t="s">
        <v>114</v>
      </c>
      <c r="C16" s="42"/>
      <c r="E16" s="42"/>
      <c r="F16" s="42"/>
      <c r="G16" s="42"/>
      <c r="H16" s="42"/>
      <c r="I16" s="42"/>
      <c r="J16" s="42"/>
      <c r="K16" s="42"/>
      <c r="L16" s="42"/>
      <c r="M16" s="44"/>
      <c r="N16" s="44"/>
    </row>
    <row r="17" spans="1:14" ht="5.4" customHeight="1" x14ac:dyDescent="0.3">
      <c r="A17" s="44"/>
      <c r="B17" s="44"/>
      <c r="C17" s="44"/>
      <c r="E17" s="44"/>
      <c r="F17" s="44"/>
      <c r="G17" s="44"/>
      <c r="H17" s="44"/>
      <c r="I17" s="44"/>
      <c r="J17" s="44"/>
      <c r="K17" s="44"/>
      <c r="L17" s="44"/>
      <c r="M17" s="44"/>
      <c r="N17" s="44"/>
    </row>
    <row r="18" spans="1:14" x14ac:dyDescent="0.3">
      <c r="B18" s="48" t="s">
        <v>115</v>
      </c>
      <c r="C18" s="48" t="s">
        <v>116</v>
      </c>
      <c r="E18" s="42"/>
      <c r="F18" s="42"/>
      <c r="G18" s="44"/>
      <c r="H18" s="44"/>
      <c r="I18" s="44"/>
      <c r="J18" s="44"/>
      <c r="K18" s="44"/>
      <c r="L18" s="44"/>
      <c r="M18" s="44"/>
      <c r="N18" s="44"/>
    </row>
    <row r="19" spans="1:14" x14ac:dyDescent="0.3">
      <c r="A19" s="44"/>
      <c r="B19" s="47">
        <v>58</v>
      </c>
      <c r="C19" s="47">
        <v>58</v>
      </c>
      <c r="E19" s="42"/>
      <c r="F19" s="42"/>
      <c r="G19" s="44"/>
      <c r="H19" s="44"/>
      <c r="I19" s="44"/>
      <c r="J19" s="44"/>
      <c r="K19" s="44"/>
      <c r="L19" s="44"/>
      <c r="M19" s="44"/>
      <c r="N19" s="44"/>
    </row>
    <row r="20" spans="1:14" x14ac:dyDescent="0.3">
      <c r="A20" s="44"/>
      <c r="B20" s="47">
        <v>43</v>
      </c>
      <c r="C20" s="47">
        <v>43</v>
      </c>
      <c r="E20" s="42"/>
      <c r="F20" s="42"/>
      <c r="G20" s="44"/>
      <c r="H20" s="44"/>
      <c r="I20" s="44"/>
      <c r="J20" s="44"/>
      <c r="K20" s="44"/>
      <c r="L20" s="44"/>
      <c r="M20" s="44"/>
      <c r="N20" s="44"/>
    </row>
    <row r="21" spans="1:14" x14ac:dyDescent="0.3">
      <c r="A21" s="44"/>
      <c r="B21" s="47">
        <v>21.001000000000001</v>
      </c>
      <c r="C21" s="47">
        <v>21</v>
      </c>
      <c r="E21" s="42"/>
      <c r="F21" s="42"/>
      <c r="G21" s="44"/>
      <c r="H21" s="44"/>
      <c r="I21" s="44"/>
      <c r="J21" s="44"/>
      <c r="K21" s="44"/>
      <c r="L21" s="44"/>
      <c r="M21" s="44"/>
      <c r="N21" s="44"/>
    </row>
    <row r="22" spans="1:14" ht="15" thickBot="1" x14ac:dyDescent="0.35">
      <c r="A22" s="44"/>
      <c r="B22" s="49"/>
      <c r="C22" s="49"/>
      <c r="E22" s="42"/>
      <c r="I22" s="44"/>
      <c r="J22" s="44"/>
      <c r="K22" s="44"/>
      <c r="L22" s="44"/>
      <c r="M22" s="44"/>
      <c r="N22" s="44"/>
    </row>
    <row r="23" spans="1:14" ht="15" thickBot="1" x14ac:dyDescent="0.35">
      <c r="A23" s="44"/>
      <c r="B23" s="51">
        <f>SUM(B19:B22)</f>
        <v>122.001</v>
      </c>
      <c r="C23" s="51">
        <f>SUM(C19:C22)</f>
        <v>122</v>
      </c>
      <c r="E23" s="42"/>
      <c r="J23" s="44"/>
      <c r="K23" s="44"/>
      <c r="M23" s="44"/>
      <c r="N23" s="44"/>
    </row>
    <row r="24" spans="1:14" ht="15" thickTop="1" x14ac:dyDescent="0.3">
      <c r="A24" s="44"/>
      <c r="B24" s="42"/>
      <c r="C24" s="42"/>
      <c r="E24" s="42"/>
      <c r="J24" s="44"/>
      <c r="K24" s="44"/>
      <c r="L24" s="44"/>
      <c r="M24" s="44"/>
      <c r="N24" s="44"/>
    </row>
    <row r="25" spans="1:14" x14ac:dyDescent="0.3">
      <c r="B25" t="s">
        <v>117</v>
      </c>
      <c r="C25" s="50" t="b">
        <f>B23=C23</f>
        <v>0</v>
      </c>
      <c r="F25" t="str">
        <f ca="1">_xlfn.IFNA(_xlfn.FORMULATEXT(C25),"")</f>
        <v>=B23=C23</v>
      </c>
    </row>
    <row r="26" spans="1:14" x14ac:dyDescent="0.3">
      <c r="B26" t="s">
        <v>137</v>
      </c>
      <c r="C26" s="50" t="str">
        <f>IF(B23=C23,"In Balance","NOT In Balance")</f>
        <v>NOT In Balance</v>
      </c>
      <c r="F26" t="str">
        <f ca="1">_xlfn.IFNA(_xlfn.FORMULATEXT(C26),"")</f>
        <v>=IF(B23=C23,"In Balance","NOT In Balance")</v>
      </c>
    </row>
    <row r="27" spans="1:14" x14ac:dyDescent="0.3">
      <c r="C27" s="42"/>
      <c r="F27" t="s">
        <v>141</v>
      </c>
    </row>
    <row r="28" spans="1:14" ht="5.4" customHeight="1" x14ac:dyDescent="0.3"/>
    <row r="29" spans="1:14" x14ac:dyDescent="0.3">
      <c r="A29" s="45" t="s">
        <v>216</v>
      </c>
      <c r="B29" t="s">
        <v>138</v>
      </c>
    </row>
    <row r="30" spans="1:14" x14ac:dyDescent="0.3">
      <c r="B30" t="s">
        <v>139</v>
      </c>
    </row>
    <row r="31" spans="1:14" ht="5.4" customHeight="1" x14ac:dyDescent="0.3"/>
    <row r="32" spans="1:14" x14ac:dyDescent="0.3">
      <c r="B32" s="56" t="s">
        <v>134</v>
      </c>
      <c r="C32" s="56" t="s">
        <v>135</v>
      </c>
      <c r="D32" s="57" t="s">
        <v>136</v>
      </c>
    </row>
    <row r="33" spans="1:19" x14ac:dyDescent="0.3">
      <c r="B33" s="129">
        <v>30000</v>
      </c>
      <c r="C33" s="20">
        <v>0.05</v>
      </c>
      <c r="D33" s="20">
        <v>0.01</v>
      </c>
    </row>
    <row r="34" spans="1:19" ht="5.4" customHeight="1" x14ac:dyDescent="0.3"/>
    <row r="35" spans="1:19" ht="28.8" x14ac:dyDescent="0.3">
      <c r="A35" s="44"/>
      <c r="B35" s="17" t="s">
        <v>132</v>
      </c>
      <c r="C35" s="55" t="s">
        <v>133</v>
      </c>
      <c r="R35" s="44"/>
      <c r="S35" s="44"/>
    </row>
    <row r="36" spans="1:19" x14ac:dyDescent="0.3">
      <c r="B36" s="130">
        <v>17382</v>
      </c>
      <c r="C36" s="59" cm="1">
        <f t="array" ref="C36:C40">IF(B36:B40&gt;B33,C33,D33)*B36:B40</f>
        <v>173.82</v>
      </c>
      <c r="F36" t="str">
        <f ca="1">_xlfn.IFNA(_xlfn.FORMULATEXT(C36),"")</f>
        <v>=IF(B36:B40&gt;B33,C33,D33)*B36:B40</v>
      </c>
      <c r="R36" s="44"/>
      <c r="S36" s="44"/>
    </row>
    <row r="37" spans="1:19" x14ac:dyDescent="0.3">
      <c r="A37" s="44"/>
      <c r="B37" s="130">
        <v>19504</v>
      </c>
      <c r="C37" s="59">
        <v>195.04</v>
      </c>
      <c r="F37" t="s">
        <v>142</v>
      </c>
      <c r="R37" s="44"/>
      <c r="S37" s="44"/>
    </row>
    <row r="38" spans="1:19" x14ac:dyDescent="0.3">
      <c r="A38" s="44"/>
      <c r="B38" s="130">
        <v>29999.99</v>
      </c>
      <c r="C38" s="59">
        <v>299.99990000000003</v>
      </c>
      <c r="R38" s="44"/>
      <c r="S38" s="44"/>
    </row>
    <row r="39" spans="1:19" x14ac:dyDescent="0.3">
      <c r="A39" s="44"/>
      <c r="B39" s="130">
        <v>30000.01</v>
      </c>
      <c r="C39" s="59">
        <v>1500.0005000000001</v>
      </c>
      <c r="R39" s="44"/>
      <c r="S39" s="44"/>
    </row>
    <row r="40" spans="1:19" x14ac:dyDescent="0.3">
      <c r="A40" s="44"/>
      <c r="B40" s="130">
        <v>16081</v>
      </c>
      <c r="C40" s="59">
        <v>160.81</v>
      </c>
      <c r="R40" s="44"/>
      <c r="S40" s="4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4280D-B94E-4EA4-ACD4-67B6B1CD5FAD}">
  <sheetPr codeName="Sheet11">
    <tabColor rgb="FF0000FF"/>
  </sheetPr>
  <dimension ref="A1:H20"/>
  <sheetViews>
    <sheetView zoomScale="160" zoomScaleNormal="160" workbookViewId="0"/>
  </sheetViews>
  <sheetFormatPr defaultColWidth="9.109375" defaultRowHeight="14.4" x14ac:dyDescent="0.3"/>
  <cols>
    <col min="1" max="1" width="5" bestFit="1" customWidth="1"/>
    <col min="2" max="2" width="11.109375" customWidth="1"/>
    <col min="3" max="3" width="10.109375" customWidth="1"/>
    <col min="4" max="5" width="11.21875" customWidth="1"/>
    <col min="6" max="6" width="2.21875" customWidth="1"/>
    <col min="9" max="9" width="1.33203125" customWidth="1"/>
  </cols>
  <sheetData>
    <row r="1" spans="1:8" ht="4.2" customHeight="1" x14ac:dyDescent="0.3"/>
    <row r="2" spans="1:8" x14ac:dyDescent="0.3">
      <c r="A2" s="7" t="s">
        <v>316</v>
      </c>
      <c r="B2" t="s">
        <v>143</v>
      </c>
    </row>
    <row r="3" spans="1:8" x14ac:dyDescent="0.3">
      <c r="B3" t="s">
        <v>144</v>
      </c>
    </row>
    <row r="4" spans="1:8" x14ac:dyDescent="0.3">
      <c r="B4" t="s">
        <v>145</v>
      </c>
    </row>
    <row r="5" spans="1:8" ht="3.75" customHeight="1" x14ac:dyDescent="0.3"/>
    <row r="6" spans="1:8" x14ac:dyDescent="0.3">
      <c r="B6" s="17" t="s">
        <v>146</v>
      </c>
      <c r="C6" s="17" t="s">
        <v>147</v>
      </c>
      <c r="D6" s="17" t="s">
        <v>148</v>
      </c>
      <c r="E6" s="17" t="s">
        <v>149</v>
      </c>
      <c r="G6" s="17" t="s">
        <v>146</v>
      </c>
      <c r="H6" s="17" t="s">
        <v>150</v>
      </c>
    </row>
    <row r="7" spans="1:8" x14ac:dyDescent="0.3">
      <c r="B7" s="20" t="s">
        <v>151</v>
      </c>
      <c r="C7" s="20">
        <v>12</v>
      </c>
      <c r="D7" s="60"/>
      <c r="E7" s="60"/>
      <c r="G7" s="20" t="s">
        <v>152</v>
      </c>
      <c r="H7" s="20">
        <v>43.95</v>
      </c>
    </row>
    <row r="8" spans="1:8" x14ac:dyDescent="0.3">
      <c r="B8" s="20" t="s">
        <v>153</v>
      </c>
      <c r="C8" s="20">
        <v>44</v>
      </c>
      <c r="D8" s="60"/>
      <c r="E8" s="60"/>
      <c r="G8" s="20" t="s">
        <v>154</v>
      </c>
      <c r="H8" s="20">
        <v>26.95</v>
      </c>
    </row>
    <row r="9" spans="1:8" x14ac:dyDescent="0.3">
      <c r="B9" s="20" t="s">
        <v>155</v>
      </c>
      <c r="C9" s="20">
        <v>34</v>
      </c>
      <c r="D9" s="60"/>
      <c r="E9" s="60"/>
      <c r="G9" s="20" t="s">
        <v>155</v>
      </c>
      <c r="H9" s="20">
        <v>25.95</v>
      </c>
    </row>
    <row r="10" spans="1:8" x14ac:dyDescent="0.3">
      <c r="B10" s="20" t="s">
        <v>154</v>
      </c>
      <c r="C10" s="20">
        <v>12</v>
      </c>
      <c r="D10" s="60"/>
      <c r="E10" s="60"/>
      <c r="G10" s="20" t="s">
        <v>151</v>
      </c>
      <c r="H10" s="20">
        <v>27.95</v>
      </c>
    </row>
    <row r="11" spans="1:8" x14ac:dyDescent="0.3">
      <c r="B11" s="20"/>
      <c r="C11" s="20"/>
      <c r="D11" s="60"/>
      <c r="E11" s="60"/>
      <c r="G11" s="20" t="s">
        <v>153</v>
      </c>
      <c r="H11" s="20">
        <v>19.95</v>
      </c>
    </row>
    <row r="12" spans="1:8" x14ac:dyDescent="0.3">
      <c r="B12" s="20"/>
      <c r="C12" s="20"/>
      <c r="D12" s="60"/>
      <c r="E12" s="60"/>
      <c r="G12" s="20" t="s">
        <v>156</v>
      </c>
      <c r="H12" s="20">
        <v>31.95</v>
      </c>
    </row>
    <row r="15" spans="1:8" x14ac:dyDescent="0.3">
      <c r="A15" s="61" t="s">
        <v>461</v>
      </c>
      <c r="B15" s="62"/>
      <c r="C15" s="62"/>
      <c r="D15" s="62"/>
      <c r="E15" s="62"/>
      <c r="F15" s="62"/>
      <c r="G15" s="62"/>
      <c r="H15" s="62"/>
    </row>
    <row r="16" spans="1:8" ht="4.2" customHeight="1" x14ac:dyDescent="0.3"/>
    <row r="17" spans="2:5" x14ac:dyDescent="0.3">
      <c r="B17" s="63" t="s">
        <v>158</v>
      </c>
      <c r="C17" s="20"/>
      <c r="D17" s="21"/>
      <c r="E17" s="8" t="str">
        <f ca="1">IF(_xlfn.ISFORMULA(D17),"Formula in cell "&amp;ADDRESS(ROW(D17),COLUMN(D17),4)&amp;": "&amp;_xlfn.FORMULATEXT(D17),"")</f>
        <v/>
      </c>
    </row>
    <row r="18" spans="2:5" x14ac:dyDescent="0.3">
      <c r="B18" s="63" t="s">
        <v>159</v>
      </c>
      <c r="C18" s="21" t="str">
        <f>""</f>
        <v/>
      </c>
      <c r="D18" s="21"/>
      <c r="E18" s="8" t="str">
        <f ca="1">IF(_xlfn.ISFORMULA(D18),"Formula in cell "&amp;ADDRESS(ROW(D18),COLUMN(D18),4)&amp;": "&amp;_xlfn.FORMULATEXT(D18),"")</f>
        <v/>
      </c>
    </row>
    <row r="19" spans="2:5" x14ac:dyDescent="0.3">
      <c r="B19" s="63" t="s">
        <v>159</v>
      </c>
      <c r="C19" s="21" t="str">
        <f>""</f>
        <v/>
      </c>
      <c r="D19" s="21"/>
      <c r="E19" s="8" t="str">
        <f ca="1">IF(_xlfn.ISFORMULA(D19),"Formula in cell "&amp;ADDRESS(ROW(D19),COLUMN(D19),4)&amp;": "&amp;_xlfn.FORMULATEXT(D19),"")</f>
        <v/>
      </c>
    </row>
    <row r="20" spans="2:5" x14ac:dyDescent="0.3">
      <c r="B20" s="63" t="s">
        <v>159</v>
      </c>
      <c r="C20" s="21" t="str">
        <f>""</f>
        <v/>
      </c>
      <c r="D20" s="21"/>
      <c r="E20" s="8" t="str">
        <f ca="1">IF(_xlfn.ISFORMULA(D20),"Formula in cell "&amp;ADDRESS(ROW(D20),COLUMN(D20),4)&amp;": "&amp;_xlfn.FORMULATEXT(D20),"")</f>
        <v/>
      </c>
    </row>
  </sheetData>
  <dataValidations count="1">
    <dataValidation type="list" allowBlank="1" showInputMessage="1" showErrorMessage="1" sqref="B7:B12" xr:uid="{42177C13-FCEA-4CFC-923D-0688A463429B}">
      <formula1>$G$7:$G$12</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4F7A4-066D-43AF-948E-9B7DB224A61C}">
  <sheetPr>
    <tabColor rgb="FFFF0000"/>
  </sheetPr>
  <dimension ref="A2:H23"/>
  <sheetViews>
    <sheetView zoomScale="130" zoomScaleNormal="130" workbookViewId="0"/>
  </sheetViews>
  <sheetFormatPr defaultColWidth="9.109375" defaultRowHeight="14.4" x14ac:dyDescent="0.3"/>
  <cols>
    <col min="1" max="1" width="5" bestFit="1" customWidth="1"/>
    <col min="2" max="2" width="11.109375" customWidth="1"/>
    <col min="3" max="3" width="10.109375" customWidth="1"/>
    <col min="4" max="5" width="11.21875" customWidth="1"/>
    <col min="6" max="6" width="2.21875" customWidth="1"/>
    <col min="9" max="9" width="1.33203125" customWidth="1"/>
  </cols>
  <sheetData>
    <row r="2" spans="1:8" x14ac:dyDescent="0.3">
      <c r="A2" s="7" t="s">
        <v>316</v>
      </c>
      <c r="B2" t="s">
        <v>143</v>
      </c>
    </row>
    <row r="3" spans="1:8" x14ac:dyDescent="0.3">
      <c r="B3" t="s">
        <v>144</v>
      </c>
    </row>
    <row r="4" spans="1:8" x14ac:dyDescent="0.3">
      <c r="B4" t="s">
        <v>145</v>
      </c>
    </row>
    <row r="5" spans="1:8" ht="3.75" customHeight="1" x14ac:dyDescent="0.3"/>
    <row r="6" spans="1:8" x14ac:dyDescent="0.3">
      <c r="B6" s="17" t="s">
        <v>146</v>
      </c>
      <c r="C6" s="17" t="s">
        <v>147</v>
      </c>
      <c r="D6" s="17" t="s">
        <v>148</v>
      </c>
      <c r="E6" s="17" t="s">
        <v>149</v>
      </c>
      <c r="G6" s="17" t="s">
        <v>146</v>
      </c>
      <c r="H6" s="17" t="s">
        <v>150</v>
      </c>
    </row>
    <row r="7" spans="1:8" x14ac:dyDescent="0.3">
      <c r="B7" s="20" t="s">
        <v>151</v>
      </c>
      <c r="C7" s="20">
        <v>12</v>
      </c>
      <c r="D7" s="60" cm="1">
        <f t="array" ref="D7:D12">_xlfn.XLOOKUP(B7:B12,G7:G12,H7:H12,"")</f>
        <v>27.95</v>
      </c>
      <c r="E7" s="60" cm="1">
        <f t="array" ref="E7:E12">IF(ISNUMBER(_xlfn.ANCHORARRAY(D7)),C7:C12*_xlfn.ANCHORARRAY(D7),"")</f>
        <v>335.4</v>
      </c>
      <c r="G7" s="20" t="s">
        <v>152</v>
      </c>
      <c r="H7" s="20">
        <v>43.95</v>
      </c>
    </row>
    <row r="8" spans="1:8" x14ac:dyDescent="0.3">
      <c r="B8" s="20" t="s">
        <v>153</v>
      </c>
      <c r="C8" s="20">
        <v>44</v>
      </c>
      <c r="D8" s="60">
        <v>19.95</v>
      </c>
      <c r="E8" s="60">
        <v>877.8</v>
      </c>
      <c r="G8" s="20" t="s">
        <v>154</v>
      </c>
      <c r="H8" s="20">
        <v>26.95</v>
      </c>
    </row>
    <row r="9" spans="1:8" x14ac:dyDescent="0.3">
      <c r="B9" s="20" t="s">
        <v>155</v>
      </c>
      <c r="C9" s="20">
        <v>34</v>
      </c>
      <c r="D9" s="60">
        <v>25.95</v>
      </c>
      <c r="E9" s="60">
        <v>882.3</v>
      </c>
      <c r="G9" s="20" t="s">
        <v>155</v>
      </c>
      <c r="H9" s="20">
        <v>25.95</v>
      </c>
    </row>
    <row r="10" spans="1:8" x14ac:dyDescent="0.3">
      <c r="B10" s="20"/>
      <c r="C10" s="20"/>
      <c r="D10" s="60" t="str">
        <v/>
      </c>
      <c r="E10" s="60" t="str">
        <v/>
      </c>
      <c r="G10" s="20" t="s">
        <v>151</v>
      </c>
      <c r="H10" s="20">
        <v>27.95</v>
      </c>
    </row>
    <row r="11" spans="1:8" x14ac:dyDescent="0.3">
      <c r="B11" s="20"/>
      <c r="C11" s="20"/>
      <c r="D11" s="60" t="str">
        <v/>
      </c>
      <c r="E11" s="60" t="str">
        <v/>
      </c>
      <c r="G11" s="20" t="s">
        <v>153</v>
      </c>
      <c r="H11" s="20">
        <v>19.95</v>
      </c>
    </row>
    <row r="12" spans="1:8" x14ac:dyDescent="0.3">
      <c r="B12" s="20"/>
      <c r="C12" s="20"/>
      <c r="D12" s="60" t="str">
        <v/>
      </c>
      <c r="E12" s="60" t="str">
        <v/>
      </c>
      <c r="G12" s="20" t="s">
        <v>156</v>
      </c>
      <c r="H12" s="20">
        <v>31.95</v>
      </c>
    </row>
    <row r="13" spans="1:8" ht="4.5" customHeight="1" x14ac:dyDescent="0.3"/>
    <row r="14" spans="1:8" x14ac:dyDescent="0.3">
      <c r="D14" t="str">
        <f ca="1">_xlfn.IFNA(_xlfn.FORMULATEXT(D7),"")</f>
        <v>=XLOOKUP(B7:B12,G7:G12,H7:H12,"")</v>
      </c>
    </row>
    <row r="15" spans="1:8" x14ac:dyDescent="0.3">
      <c r="D15" t="str">
        <f ca="1">_xlfn.IFNA(_xlfn.FORMULATEXT(E7),"")</f>
        <v>=IF(ISNUMBER(D7#),C7:C12*D7#,"")</v>
      </c>
    </row>
    <row r="18" spans="1:8" x14ac:dyDescent="0.3">
      <c r="A18" s="61" t="s">
        <v>157</v>
      </c>
      <c r="B18" s="62"/>
      <c r="C18" s="62"/>
      <c r="D18" s="62"/>
      <c r="E18" s="62"/>
      <c r="F18" s="62"/>
      <c r="G18" s="62"/>
      <c r="H18" s="62"/>
    </row>
    <row r="20" spans="1:8" x14ac:dyDescent="0.3">
      <c r="B20" s="63" t="s">
        <v>158</v>
      </c>
      <c r="C20" s="20"/>
      <c r="D20" s="21" t="b">
        <f>ISBLANK(C20)</f>
        <v>1</v>
      </c>
      <c r="E20" s="8" t="str">
        <f ca="1">IF(_xlfn.ISFORMULA(D20),"Formula in cell "&amp;ADDRESS(ROW(D20),COLUMN(D20),4)&amp;": "&amp;_xlfn.FORMULATEXT(D20),"")</f>
        <v>Formula in cell D20: =ISBLANK(C20)</v>
      </c>
    </row>
    <row r="21" spans="1:8" x14ac:dyDescent="0.3">
      <c r="B21" s="63" t="s">
        <v>159</v>
      </c>
      <c r="C21" s="21" t="str">
        <f>""</f>
        <v/>
      </c>
      <c r="D21" s="21" t="b">
        <f>ISBLANK(C21)</f>
        <v>0</v>
      </c>
      <c r="E21" s="8" t="str">
        <f ca="1">IF(_xlfn.ISFORMULA(D21),"Formula in cell "&amp;ADDRESS(ROW(D21),COLUMN(D21),4)&amp;": "&amp;_xlfn.FORMULATEXT(D21),"")</f>
        <v>Formula in cell D21: =ISBLANK(C21)</v>
      </c>
    </row>
    <row r="22" spans="1:8" x14ac:dyDescent="0.3">
      <c r="B22" s="63" t="s">
        <v>159</v>
      </c>
      <c r="C22" s="21" t="str">
        <f>""</f>
        <v/>
      </c>
      <c r="D22" s="21" t="b">
        <f>ISTEXT(C22)</f>
        <v>1</v>
      </c>
      <c r="E22" s="8" t="str">
        <f ca="1">IF(_xlfn.ISFORMULA(D22),"Formula in cell "&amp;ADDRESS(ROW(D22),COLUMN(D22),4)&amp;": "&amp;_xlfn.FORMULATEXT(D22),"")</f>
        <v>Formula in cell D22: =ISTEXT(C22)</v>
      </c>
    </row>
    <row r="23" spans="1:8" x14ac:dyDescent="0.3">
      <c r="B23" s="63" t="s">
        <v>159</v>
      </c>
      <c r="C23" s="21" t="str">
        <f>""</f>
        <v/>
      </c>
      <c r="D23" s="21">
        <f>LEN(C23)</f>
        <v>0</v>
      </c>
      <c r="E23" s="8" t="str">
        <f ca="1">IF(_xlfn.ISFORMULA(D23),"Formula in cell "&amp;ADDRESS(ROW(D23),COLUMN(D23),4)&amp;": "&amp;_xlfn.FORMULATEXT(D23),"")</f>
        <v>Formula in cell D23: =LEN(C23)</v>
      </c>
    </row>
  </sheetData>
  <dataValidations count="1">
    <dataValidation type="list" allowBlank="1" showInputMessage="1" showErrorMessage="1" sqref="B7:B12" xr:uid="{1620E31F-AADC-40DB-8FE3-7F314CC50F57}">
      <formula1>$G$7:$G$12</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403F0-246B-4833-A0A4-A60F3448BD5C}">
  <sheetPr codeName="Sheet12">
    <tabColor rgb="FF0000FF"/>
  </sheetPr>
  <dimension ref="A2:H19"/>
  <sheetViews>
    <sheetView zoomScale="145" zoomScaleNormal="145" workbookViewId="0"/>
  </sheetViews>
  <sheetFormatPr defaultRowHeight="14.4" x14ac:dyDescent="0.3"/>
  <cols>
    <col min="1" max="1" width="5" bestFit="1" customWidth="1"/>
    <col min="2" max="2" width="16.21875" customWidth="1"/>
    <col min="3" max="3" width="11.109375" bestFit="1" customWidth="1"/>
    <col min="4" max="4" width="10.88671875" bestFit="1" customWidth="1"/>
    <col min="5" max="5" width="7.21875" bestFit="1" customWidth="1"/>
    <col min="6" max="6" width="4.88671875" bestFit="1" customWidth="1"/>
    <col min="7" max="8" width="13.44140625" customWidth="1"/>
  </cols>
  <sheetData>
    <row r="2" spans="1:8" x14ac:dyDescent="0.3">
      <c r="A2" s="7" t="s">
        <v>317</v>
      </c>
      <c r="B2" t="s">
        <v>160</v>
      </c>
    </row>
    <row r="3" spans="1:8" x14ac:dyDescent="0.3">
      <c r="A3" s="7"/>
      <c r="B3" t="s">
        <v>161</v>
      </c>
    </row>
    <row r="4" spans="1:8" x14ac:dyDescent="0.3">
      <c r="B4" s="7" t="s">
        <v>162</v>
      </c>
    </row>
    <row r="5" spans="1:8" ht="7.2" customHeight="1" x14ac:dyDescent="0.3"/>
    <row r="6" spans="1:8" x14ac:dyDescent="0.3">
      <c r="B6" s="64" t="s">
        <v>163</v>
      </c>
      <c r="C6" s="20">
        <v>45</v>
      </c>
      <c r="G6" s="103" t="s">
        <v>393</v>
      </c>
      <c r="H6" s="20" t="s">
        <v>395</v>
      </c>
    </row>
    <row r="7" spans="1:8" x14ac:dyDescent="0.3">
      <c r="B7" s="64" t="s">
        <v>164</v>
      </c>
      <c r="C7" s="20">
        <v>2.5</v>
      </c>
      <c r="G7" s="103" t="s">
        <v>394</v>
      </c>
      <c r="H7" s="20" t="s">
        <v>409</v>
      </c>
    </row>
    <row r="9" spans="1:8" x14ac:dyDescent="0.3">
      <c r="B9" s="64" t="s">
        <v>165</v>
      </c>
      <c r="C9" s="64" t="s">
        <v>166</v>
      </c>
      <c r="D9" s="64" t="s">
        <v>167</v>
      </c>
      <c r="E9" s="65" t="s">
        <v>168</v>
      </c>
      <c r="F9" s="64" t="s">
        <v>169</v>
      </c>
      <c r="G9" s="64" t="s">
        <v>170</v>
      </c>
      <c r="H9" s="64" t="s">
        <v>170</v>
      </c>
    </row>
    <row r="10" spans="1:8" x14ac:dyDescent="0.3">
      <c r="B10" s="20" t="s">
        <v>171</v>
      </c>
      <c r="C10" s="52">
        <v>44103</v>
      </c>
      <c r="D10" s="20" t="s">
        <v>172</v>
      </c>
      <c r="E10" s="66">
        <v>45</v>
      </c>
      <c r="F10" s="20">
        <v>1.7</v>
      </c>
      <c r="G10" s="21"/>
      <c r="H10" s="21"/>
    </row>
    <row r="11" spans="1:8" x14ac:dyDescent="0.3">
      <c r="B11" s="20" t="s">
        <v>173</v>
      </c>
      <c r="C11" s="52">
        <v>43295</v>
      </c>
      <c r="D11" s="20" t="s">
        <v>174</v>
      </c>
      <c r="E11" s="66">
        <v>135</v>
      </c>
      <c r="F11" s="20">
        <v>2.2999999999999998</v>
      </c>
      <c r="G11" s="21"/>
      <c r="H11" s="21"/>
    </row>
    <row r="12" spans="1:8" x14ac:dyDescent="0.3">
      <c r="B12" s="20" t="s">
        <v>175</v>
      </c>
      <c r="C12" s="52">
        <v>44077</v>
      </c>
      <c r="D12" s="20" t="s">
        <v>176</v>
      </c>
      <c r="E12" s="66">
        <v>45</v>
      </c>
      <c r="F12" s="20">
        <v>3</v>
      </c>
      <c r="G12" s="21"/>
      <c r="H12" s="21"/>
    </row>
    <row r="13" spans="1:8" x14ac:dyDescent="0.3">
      <c r="B13" s="20" t="s">
        <v>177</v>
      </c>
      <c r="C13" s="52">
        <v>43790</v>
      </c>
      <c r="D13" s="20" t="s">
        <v>174</v>
      </c>
      <c r="E13" s="66">
        <v>90</v>
      </c>
      <c r="F13" s="20">
        <v>3.1</v>
      </c>
      <c r="G13" s="21"/>
      <c r="H13" s="21"/>
    </row>
    <row r="14" spans="1:8" x14ac:dyDescent="0.3">
      <c r="B14" s="20" t="s">
        <v>178</v>
      </c>
      <c r="C14" s="52">
        <v>44224</v>
      </c>
      <c r="D14" s="20" t="s">
        <v>172</v>
      </c>
      <c r="E14" s="66">
        <v>23</v>
      </c>
      <c r="F14" s="20">
        <v>1.6</v>
      </c>
      <c r="G14" s="21"/>
      <c r="H14" s="21"/>
    </row>
    <row r="15" spans="1:8" x14ac:dyDescent="0.3">
      <c r="B15" s="20" t="s">
        <v>179</v>
      </c>
      <c r="C15" s="52">
        <v>44019</v>
      </c>
      <c r="D15" s="20" t="s">
        <v>180</v>
      </c>
      <c r="E15" s="66">
        <v>45</v>
      </c>
      <c r="F15" s="20">
        <v>2.4</v>
      </c>
      <c r="G15" s="21"/>
      <c r="H15" s="21"/>
    </row>
    <row r="16" spans="1:8" x14ac:dyDescent="0.3">
      <c r="B16" s="20" t="s">
        <v>181</v>
      </c>
      <c r="C16" s="52">
        <v>43933</v>
      </c>
      <c r="D16" s="20" t="s">
        <v>182</v>
      </c>
      <c r="E16" s="66">
        <v>70</v>
      </c>
      <c r="F16" s="20">
        <v>4</v>
      </c>
      <c r="G16" s="21"/>
      <c r="H16" s="21"/>
    </row>
    <row r="17" spans="2:8" x14ac:dyDescent="0.3">
      <c r="B17" s="20" t="s">
        <v>183</v>
      </c>
      <c r="C17" s="52">
        <v>44012</v>
      </c>
      <c r="D17" s="20" t="s">
        <v>176</v>
      </c>
      <c r="E17" s="66">
        <v>40</v>
      </c>
      <c r="F17" s="20">
        <v>2.4</v>
      </c>
      <c r="G17" s="21"/>
      <c r="H17" s="21"/>
    </row>
    <row r="18" spans="2:8" x14ac:dyDescent="0.3">
      <c r="B18" s="20" t="s">
        <v>184</v>
      </c>
      <c r="C18" s="52">
        <v>43679</v>
      </c>
      <c r="D18" s="20" t="s">
        <v>180</v>
      </c>
      <c r="E18" s="66">
        <v>60</v>
      </c>
      <c r="F18" s="20">
        <v>3.5</v>
      </c>
      <c r="G18" s="21"/>
      <c r="H18" s="21"/>
    </row>
    <row r="19" spans="2:8" x14ac:dyDescent="0.3">
      <c r="B19" s="20" t="s">
        <v>185</v>
      </c>
      <c r="C19" s="52">
        <v>43826</v>
      </c>
      <c r="D19" s="20" t="s">
        <v>186</v>
      </c>
      <c r="E19" s="66">
        <v>75</v>
      </c>
      <c r="F19" s="20">
        <v>3.9</v>
      </c>
      <c r="G19" s="21"/>
      <c r="H19" s="2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FCB4F-4BB9-4F71-A1DD-AFDE1AF6E7E1}">
  <sheetPr>
    <tabColor rgb="FFFF0000"/>
  </sheetPr>
  <dimension ref="A2:H22"/>
  <sheetViews>
    <sheetView zoomScale="115" zoomScaleNormal="115" workbookViewId="0"/>
  </sheetViews>
  <sheetFormatPr defaultRowHeight="14.4" x14ac:dyDescent="0.3"/>
  <cols>
    <col min="1" max="1" width="5" bestFit="1" customWidth="1"/>
    <col min="2" max="2" width="16.21875" customWidth="1"/>
    <col min="3" max="3" width="11.109375" bestFit="1" customWidth="1"/>
    <col min="4" max="4" width="10.88671875" bestFit="1" customWidth="1"/>
    <col min="5" max="5" width="7.21875" bestFit="1" customWidth="1"/>
    <col min="6" max="6" width="4.88671875" bestFit="1" customWidth="1"/>
    <col min="7" max="8" width="13.44140625" customWidth="1"/>
  </cols>
  <sheetData>
    <row r="2" spans="1:8" x14ac:dyDescent="0.3">
      <c r="A2" s="7" t="s">
        <v>317</v>
      </c>
      <c r="B2" t="s">
        <v>160</v>
      </c>
    </row>
    <row r="3" spans="1:8" x14ac:dyDescent="0.3">
      <c r="A3" s="7"/>
      <c r="B3" t="s">
        <v>161</v>
      </c>
    </row>
    <row r="4" spans="1:8" x14ac:dyDescent="0.3">
      <c r="B4" s="7" t="s">
        <v>162</v>
      </c>
    </row>
    <row r="5" spans="1:8" ht="7.2" customHeight="1" x14ac:dyDescent="0.3"/>
    <row r="6" spans="1:8" x14ac:dyDescent="0.3">
      <c r="B6" s="64" t="s">
        <v>163</v>
      </c>
      <c r="C6" s="20">
        <v>45</v>
      </c>
      <c r="G6" s="103" t="s">
        <v>393</v>
      </c>
      <c r="H6" s="20" t="s">
        <v>395</v>
      </c>
    </row>
    <row r="7" spans="1:8" x14ac:dyDescent="0.3">
      <c r="B7" s="64" t="s">
        <v>164</v>
      </c>
      <c r="C7" s="20">
        <v>2.5</v>
      </c>
      <c r="G7" s="103" t="s">
        <v>394</v>
      </c>
      <c r="H7" s="20" t="s">
        <v>409</v>
      </c>
    </row>
    <row r="9" spans="1:8" x14ac:dyDescent="0.3">
      <c r="B9" s="64" t="s">
        <v>165</v>
      </c>
      <c r="C9" s="64" t="s">
        <v>166</v>
      </c>
      <c r="D9" s="64" t="s">
        <v>167</v>
      </c>
      <c r="E9" s="65" t="s">
        <v>168</v>
      </c>
      <c r="F9" s="64" t="s">
        <v>169</v>
      </c>
      <c r="G9" s="64" t="s">
        <v>170</v>
      </c>
      <c r="H9" s="64" t="s">
        <v>170</v>
      </c>
    </row>
    <row r="10" spans="1:8" x14ac:dyDescent="0.3">
      <c r="B10" s="20" t="s">
        <v>171</v>
      </c>
      <c r="C10" s="52">
        <v>44103</v>
      </c>
      <c r="D10" s="20" t="s">
        <v>172</v>
      </c>
      <c r="E10" s="66">
        <v>45</v>
      </c>
      <c r="F10" s="20">
        <v>1.7</v>
      </c>
      <c r="G10" s="21" t="str">
        <f>IF(AND(E10&gt;=$C$6,F10&gt;$C$7),$H$6,$H$7)</f>
        <v>-</v>
      </c>
      <c r="H10" s="21" t="str" cm="1">
        <f t="array" ref="H10:H19">IF((E10:E19&gt;=C6)*(F10:F19&gt;C7),H6,H7)</f>
        <v>-</v>
      </c>
    </row>
    <row r="11" spans="1:8" x14ac:dyDescent="0.3">
      <c r="B11" s="20" t="s">
        <v>173</v>
      </c>
      <c r="C11" s="52">
        <v>43295</v>
      </c>
      <c r="D11" s="20" t="s">
        <v>174</v>
      </c>
      <c r="E11" s="66">
        <v>135</v>
      </c>
      <c r="F11" s="20">
        <v>2.2999999999999998</v>
      </c>
      <c r="G11" s="21" t="str">
        <f t="shared" ref="G11:G19" si="0">IF(AND(E11&gt;=$C$6,F11&gt;$C$7),$H$6,$H$7)</f>
        <v>-</v>
      </c>
      <c r="H11" s="21" t="str">
        <v>-</v>
      </c>
    </row>
    <row r="12" spans="1:8" x14ac:dyDescent="0.3">
      <c r="B12" s="20" t="s">
        <v>175</v>
      </c>
      <c r="C12" s="52">
        <v>44077</v>
      </c>
      <c r="D12" s="20" t="s">
        <v>176</v>
      </c>
      <c r="E12" s="66">
        <v>45</v>
      </c>
      <c r="F12" s="20">
        <v>3</v>
      </c>
      <c r="G12" s="21" t="str">
        <f t="shared" si="0"/>
        <v>Eligible</v>
      </c>
      <c r="H12" s="21" t="str">
        <v>Eligible</v>
      </c>
    </row>
    <row r="13" spans="1:8" x14ac:dyDescent="0.3">
      <c r="B13" s="20" t="s">
        <v>177</v>
      </c>
      <c r="C13" s="52">
        <v>43790</v>
      </c>
      <c r="D13" s="20" t="s">
        <v>174</v>
      </c>
      <c r="E13" s="66">
        <v>90</v>
      </c>
      <c r="F13" s="20">
        <v>3.1</v>
      </c>
      <c r="G13" s="21" t="str">
        <f t="shared" si="0"/>
        <v>Eligible</v>
      </c>
      <c r="H13" s="21" t="str">
        <v>Eligible</v>
      </c>
    </row>
    <row r="14" spans="1:8" x14ac:dyDescent="0.3">
      <c r="B14" s="20" t="s">
        <v>178</v>
      </c>
      <c r="C14" s="52">
        <v>44224</v>
      </c>
      <c r="D14" s="20" t="s">
        <v>172</v>
      </c>
      <c r="E14" s="66">
        <v>23</v>
      </c>
      <c r="F14" s="20">
        <v>1.6</v>
      </c>
      <c r="G14" s="21" t="str">
        <f t="shared" si="0"/>
        <v>-</v>
      </c>
      <c r="H14" s="21" t="str">
        <v>-</v>
      </c>
    </row>
    <row r="15" spans="1:8" x14ac:dyDescent="0.3">
      <c r="B15" s="20" t="s">
        <v>179</v>
      </c>
      <c r="C15" s="52">
        <v>44019</v>
      </c>
      <c r="D15" s="20" t="s">
        <v>180</v>
      </c>
      <c r="E15" s="66">
        <v>45</v>
      </c>
      <c r="F15" s="20">
        <v>2.4</v>
      </c>
      <c r="G15" s="21" t="str">
        <f t="shared" si="0"/>
        <v>-</v>
      </c>
      <c r="H15" s="21" t="str">
        <v>-</v>
      </c>
    </row>
    <row r="16" spans="1:8" x14ac:dyDescent="0.3">
      <c r="B16" s="20" t="s">
        <v>181</v>
      </c>
      <c r="C16" s="52">
        <v>43933</v>
      </c>
      <c r="D16" s="20" t="s">
        <v>182</v>
      </c>
      <c r="E16" s="66">
        <v>70</v>
      </c>
      <c r="F16" s="20">
        <v>4</v>
      </c>
      <c r="G16" s="21" t="str">
        <f t="shared" si="0"/>
        <v>Eligible</v>
      </c>
      <c r="H16" s="21" t="str">
        <v>Eligible</v>
      </c>
    </row>
    <row r="17" spans="2:8" x14ac:dyDescent="0.3">
      <c r="B17" s="20" t="s">
        <v>183</v>
      </c>
      <c r="C17" s="52">
        <v>44012</v>
      </c>
      <c r="D17" s="20" t="s">
        <v>176</v>
      </c>
      <c r="E17" s="66">
        <v>40</v>
      </c>
      <c r="F17" s="20">
        <v>2.4</v>
      </c>
      <c r="G17" s="21" t="str">
        <f t="shared" si="0"/>
        <v>-</v>
      </c>
      <c r="H17" s="21" t="str">
        <v>-</v>
      </c>
    </row>
    <row r="18" spans="2:8" x14ac:dyDescent="0.3">
      <c r="B18" s="20" t="s">
        <v>184</v>
      </c>
      <c r="C18" s="52">
        <v>43679</v>
      </c>
      <c r="D18" s="20" t="s">
        <v>180</v>
      </c>
      <c r="E18" s="66">
        <v>60</v>
      </c>
      <c r="F18" s="20">
        <v>3.5</v>
      </c>
      <c r="G18" s="21" t="str">
        <f t="shared" si="0"/>
        <v>Eligible</v>
      </c>
      <c r="H18" s="21" t="str">
        <v>Eligible</v>
      </c>
    </row>
    <row r="19" spans="2:8" x14ac:dyDescent="0.3">
      <c r="B19" s="20" t="s">
        <v>185</v>
      </c>
      <c r="C19" s="52">
        <v>43826</v>
      </c>
      <c r="D19" s="20" t="s">
        <v>186</v>
      </c>
      <c r="E19" s="66">
        <v>75</v>
      </c>
      <c r="F19" s="20">
        <v>3.9</v>
      </c>
      <c r="G19" s="21" t="str">
        <f t="shared" si="0"/>
        <v>Eligible</v>
      </c>
      <c r="H19" s="21" t="str">
        <v>Eligible</v>
      </c>
    </row>
    <row r="21" spans="2:8" x14ac:dyDescent="0.3">
      <c r="D21" t="str">
        <f ca="1">_xlfn.IFNA(_xlfn.FORMULATEXT(G10),"")</f>
        <v>=IF(AND(E10&gt;=$C$6,F10&gt;$C$7),$H$6,$H$7)</v>
      </c>
    </row>
    <row r="22" spans="2:8" x14ac:dyDescent="0.3">
      <c r="D22" t="str">
        <f ca="1">_xlfn.IFNA(_xlfn.FORMULATEXT(H10),"")</f>
        <v>=IF((E10:E19&gt;=C6)*(F10:F19&gt;C7),H6,H7)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229EE-2600-41F7-90B0-F6585A4FCBF2}">
  <sheetPr codeName="Sheet13">
    <tabColor rgb="FF0000FF"/>
  </sheetPr>
  <dimension ref="A2:H15"/>
  <sheetViews>
    <sheetView zoomScale="145" zoomScaleNormal="145" workbookViewId="0"/>
  </sheetViews>
  <sheetFormatPr defaultRowHeight="14.4" x14ac:dyDescent="0.3"/>
  <cols>
    <col min="1" max="1" width="5" bestFit="1" customWidth="1"/>
    <col min="2" max="2" width="17.109375" customWidth="1"/>
    <col min="3" max="3" width="15.88671875" customWidth="1"/>
    <col min="4" max="4" width="10.88671875" bestFit="1" customWidth="1"/>
    <col min="5" max="5" width="11.5546875" customWidth="1"/>
    <col min="6" max="6" width="20.88671875" customWidth="1"/>
    <col min="7" max="8" width="16.33203125" customWidth="1"/>
    <col min="10" max="12" width="19.44140625" customWidth="1"/>
    <col min="13" max="13" width="14.6640625" customWidth="1"/>
  </cols>
  <sheetData>
    <row r="2" spans="1:8" x14ac:dyDescent="0.3">
      <c r="A2" s="7" t="s">
        <v>324</v>
      </c>
      <c r="B2" s="7" t="s">
        <v>389</v>
      </c>
    </row>
    <row r="3" spans="1:8" x14ac:dyDescent="0.3">
      <c r="A3" s="7"/>
      <c r="B3" s="7" t="s">
        <v>382</v>
      </c>
    </row>
    <row r="4" spans="1:8" x14ac:dyDescent="0.3">
      <c r="B4" s="7" t="s">
        <v>458</v>
      </c>
    </row>
    <row r="6" spans="1:8" x14ac:dyDescent="0.3">
      <c r="B6" s="16" t="s">
        <v>383</v>
      </c>
      <c r="C6" s="69">
        <v>1000000</v>
      </c>
      <c r="E6" s="7" t="s">
        <v>465</v>
      </c>
    </row>
    <row r="7" spans="1:8" x14ac:dyDescent="0.3">
      <c r="B7" s="16" t="s">
        <v>385</v>
      </c>
      <c r="C7" s="20">
        <v>4</v>
      </c>
      <c r="E7" s="142" t="s">
        <v>466</v>
      </c>
    </row>
    <row r="9" spans="1:8" ht="28.8" x14ac:dyDescent="0.3">
      <c r="B9" s="16" t="s">
        <v>380</v>
      </c>
      <c r="C9" s="16" t="s">
        <v>343</v>
      </c>
      <c r="D9" s="16" t="s">
        <v>338</v>
      </c>
      <c r="E9" s="16" t="s">
        <v>388</v>
      </c>
      <c r="F9" s="16" t="s">
        <v>388</v>
      </c>
      <c r="G9" s="16" t="s">
        <v>459</v>
      </c>
      <c r="H9" s="16" t="s">
        <v>459</v>
      </c>
    </row>
    <row r="10" spans="1:8" x14ac:dyDescent="0.3">
      <c r="B10" s="69">
        <v>1250000</v>
      </c>
      <c r="C10" s="20">
        <v>4.5999999999999996</v>
      </c>
      <c r="D10" s="20" t="s">
        <v>381</v>
      </c>
      <c r="E10" s="21"/>
      <c r="F10" s="21"/>
      <c r="G10" s="21"/>
      <c r="H10" s="21"/>
    </row>
    <row r="11" spans="1:8" x14ac:dyDescent="0.3">
      <c r="B11" s="69">
        <v>955500</v>
      </c>
      <c r="C11" s="20">
        <v>3.7</v>
      </c>
      <c r="D11" s="20" t="s">
        <v>340</v>
      </c>
      <c r="E11" s="21"/>
      <c r="F11" s="21"/>
      <c r="G11" s="21"/>
      <c r="H11" s="21"/>
    </row>
    <row r="12" spans="1:8" x14ac:dyDescent="0.3">
      <c r="B12" s="69">
        <v>875000</v>
      </c>
      <c r="C12" s="20">
        <v>4</v>
      </c>
      <c r="D12" s="20" t="s">
        <v>342</v>
      </c>
      <c r="E12" s="21"/>
      <c r="F12" s="21"/>
      <c r="G12" s="21"/>
      <c r="H12" s="21"/>
    </row>
    <row r="13" spans="1:8" x14ac:dyDescent="0.3">
      <c r="B13" s="69">
        <v>2100500</v>
      </c>
      <c r="C13" s="20">
        <v>2</v>
      </c>
      <c r="D13" s="20" t="s">
        <v>384</v>
      </c>
      <c r="E13" s="21"/>
      <c r="F13" s="21"/>
      <c r="G13" s="21"/>
      <c r="H13" s="21"/>
    </row>
    <row r="14" spans="1:8" x14ac:dyDescent="0.3">
      <c r="B14" s="69">
        <v>550750</v>
      </c>
      <c r="C14" s="20">
        <v>1.6</v>
      </c>
      <c r="D14" s="20" t="s">
        <v>386</v>
      </c>
      <c r="E14" s="21"/>
      <c r="F14" s="21"/>
      <c r="G14" s="21"/>
      <c r="H14" s="21"/>
    </row>
    <row r="15" spans="1:8" x14ac:dyDescent="0.3">
      <c r="B15" s="69">
        <v>2500000</v>
      </c>
      <c r="C15" s="20">
        <v>2.9</v>
      </c>
      <c r="D15" s="20" t="s">
        <v>387</v>
      </c>
      <c r="E15" s="21"/>
      <c r="F15" s="21"/>
      <c r="G15" s="21"/>
      <c r="H15" s="21"/>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7B76A-E6FF-4A54-A8F3-DC5AF7FC5136}">
  <sheetPr>
    <tabColor rgb="FFFF0000"/>
  </sheetPr>
  <dimension ref="A2:H20"/>
  <sheetViews>
    <sheetView zoomScaleNormal="100" workbookViewId="0"/>
  </sheetViews>
  <sheetFormatPr defaultRowHeight="14.4" x14ac:dyDescent="0.3"/>
  <cols>
    <col min="1" max="1" width="5" bestFit="1" customWidth="1"/>
    <col min="2" max="2" width="17.109375" customWidth="1"/>
    <col min="3" max="3" width="15.88671875" customWidth="1"/>
    <col min="4" max="4" width="10.88671875" bestFit="1" customWidth="1"/>
    <col min="5" max="5" width="11.5546875" customWidth="1"/>
    <col min="6" max="6" width="20.88671875" customWidth="1"/>
    <col min="7" max="7" width="15.88671875" customWidth="1"/>
    <col min="8" max="8" width="14.6640625" customWidth="1"/>
    <col min="10" max="12" width="19.44140625" customWidth="1"/>
    <col min="13" max="13" width="14.6640625" customWidth="1"/>
  </cols>
  <sheetData>
    <row r="2" spans="1:8" x14ac:dyDescent="0.3">
      <c r="A2" s="7" t="s">
        <v>324</v>
      </c>
      <c r="B2" s="7" t="s">
        <v>389</v>
      </c>
    </row>
    <row r="3" spans="1:8" x14ac:dyDescent="0.3">
      <c r="A3" s="7"/>
      <c r="B3" s="7" t="s">
        <v>382</v>
      </c>
    </row>
    <row r="4" spans="1:8" x14ac:dyDescent="0.3">
      <c r="B4" s="7" t="s">
        <v>458</v>
      </c>
    </row>
    <row r="6" spans="1:8" x14ac:dyDescent="0.3">
      <c r="B6" s="16" t="s">
        <v>383</v>
      </c>
      <c r="C6" s="69">
        <v>1000000</v>
      </c>
      <c r="E6" s="7" t="s">
        <v>465</v>
      </c>
    </row>
    <row r="7" spans="1:8" x14ac:dyDescent="0.3">
      <c r="B7" s="16" t="s">
        <v>385</v>
      </c>
      <c r="C7" s="20">
        <v>4</v>
      </c>
      <c r="E7" s="142" t="s">
        <v>466</v>
      </c>
    </row>
    <row r="9" spans="1:8" ht="43.2" x14ac:dyDescent="0.3">
      <c r="B9" s="16" t="s">
        <v>380</v>
      </c>
      <c r="C9" s="16" t="s">
        <v>343</v>
      </c>
      <c r="D9" s="16" t="s">
        <v>338</v>
      </c>
      <c r="E9" s="16" t="s">
        <v>388</v>
      </c>
      <c r="F9" s="16" t="s">
        <v>388</v>
      </c>
      <c r="G9" s="16" t="s">
        <v>459</v>
      </c>
      <c r="H9" s="16" t="s">
        <v>459</v>
      </c>
    </row>
    <row r="10" spans="1:8" x14ac:dyDescent="0.3">
      <c r="B10" s="69">
        <v>1250000</v>
      </c>
      <c r="C10" s="20">
        <v>4.5999999999999996</v>
      </c>
      <c r="D10" s="20" t="s">
        <v>381</v>
      </c>
      <c r="E10" s="21" t="str">
        <f>IF(OR(B10&gt;$C$6,C10&gt;=$C$7),"Credit","")</f>
        <v>Credit</v>
      </c>
      <c r="F10" s="21" t="str" cm="1">
        <f t="array" ref="F10:F15">IF((B10:B15&gt;C6)+(C10:C15&gt;=C7),"Credit","")</f>
        <v>Credit</v>
      </c>
      <c r="G10" s="21" t="str">
        <f>IF(NOT(OR(B10&gt;$C$6,C10&gt;=$C$7)),"None","")</f>
        <v/>
      </c>
      <c r="H10" s="21" t="str" cm="1">
        <f t="array" ref="H10:H15">IF(NOT((B10:B15&gt;C6)+(C10:C15&gt;=C7)),"None","")</f>
        <v/>
      </c>
    </row>
    <row r="11" spans="1:8" x14ac:dyDescent="0.3">
      <c r="B11" s="69">
        <v>955500</v>
      </c>
      <c r="C11" s="20">
        <v>3.7</v>
      </c>
      <c r="D11" s="20" t="s">
        <v>340</v>
      </c>
      <c r="E11" s="21" t="str">
        <f t="shared" ref="E11:E15" si="0">IF(OR(B11&gt;$C$6,C11&gt;=$C$7),"Credit","")</f>
        <v/>
      </c>
      <c r="F11" s="21" t="str">
        <v/>
      </c>
      <c r="G11" s="21" t="str">
        <f t="shared" ref="G11:G15" si="1">IF(NOT(OR(B11&gt;$C$6,C11&gt;=$C$7)),"None","")</f>
        <v>None</v>
      </c>
      <c r="H11" s="21" t="str">
        <v>None</v>
      </c>
    </row>
    <row r="12" spans="1:8" x14ac:dyDescent="0.3">
      <c r="B12" s="69">
        <v>875000</v>
      </c>
      <c r="C12" s="20">
        <v>4</v>
      </c>
      <c r="D12" s="20" t="s">
        <v>342</v>
      </c>
      <c r="E12" s="21" t="str">
        <f t="shared" si="0"/>
        <v>Credit</v>
      </c>
      <c r="F12" s="21" t="str">
        <v>Credit</v>
      </c>
      <c r="G12" s="21" t="str">
        <f t="shared" si="1"/>
        <v/>
      </c>
      <c r="H12" s="21" t="str">
        <v/>
      </c>
    </row>
    <row r="13" spans="1:8" x14ac:dyDescent="0.3">
      <c r="B13" s="69">
        <v>2100500</v>
      </c>
      <c r="C13" s="20">
        <v>2</v>
      </c>
      <c r="D13" s="20" t="s">
        <v>384</v>
      </c>
      <c r="E13" s="21" t="str">
        <f t="shared" si="0"/>
        <v>Credit</v>
      </c>
      <c r="F13" s="21" t="str">
        <v>Credit</v>
      </c>
      <c r="G13" s="21" t="str">
        <f t="shared" si="1"/>
        <v/>
      </c>
      <c r="H13" s="21" t="str">
        <v/>
      </c>
    </row>
    <row r="14" spans="1:8" x14ac:dyDescent="0.3">
      <c r="B14" s="69">
        <v>550750</v>
      </c>
      <c r="C14" s="20">
        <v>1.6</v>
      </c>
      <c r="D14" s="20" t="s">
        <v>386</v>
      </c>
      <c r="E14" s="21" t="str">
        <f t="shared" si="0"/>
        <v/>
      </c>
      <c r="F14" s="21" t="str">
        <v/>
      </c>
      <c r="G14" s="21" t="str">
        <f t="shared" si="1"/>
        <v>None</v>
      </c>
      <c r="H14" s="21" t="str">
        <v>None</v>
      </c>
    </row>
    <row r="15" spans="1:8" x14ac:dyDescent="0.3">
      <c r="B15" s="69">
        <v>2500000</v>
      </c>
      <c r="C15" s="20">
        <v>2.9</v>
      </c>
      <c r="D15" s="20" t="s">
        <v>387</v>
      </c>
      <c r="E15" s="21" t="str">
        <f t="shared" si="0"/>
        <v>Credit</v>
      </c>
      <c r="F15" s="21" t="str">
        <v>Credit</v>
      </c>
      <c r="G15" s="21" t="str">
        <f t="shared" si="1"/>
        <v/>
      </c>
      <c r="H15" s="21" t="str">
        <v/>
      </c>
    </row>
    <row r="17" spans="4:4" x14ac:dyDescent="0.3">
      <c r="D17" t="str">
        <f ca="1">_xlfn.IFNA(_xlfn.FORMULATEXT(E10),"")</f>
        <v>=IF(OR(B10&gt;$C$6,C10&gt;=$C$7),"Credit","")</v>
      </c>
    </row>
    <row r="18" spans="4:4" x14ac:dyDescent="0.3">
      <c r="D18" t="str">
        <f ca="1">_xlfn.IFNA(_xlfn.FORMULATEXT(F10),"")</f>
        <v>=IF((B10:B15&gt;C6)+(C10:C15&gt;=C7),"Credit","")</v>
      </c>
    </row>
    <row r="19" spans="4:4" x14ac:dyDescent="0.3">
      <c r="D19" t="str">
        <f ca="1">_xlfn.IFNA(_xlfn.FORMULATEXT(G10),"")</f>
        <v>=IF(NOT(OR(B10&gt;$C$6,C10&gt;=$C$7)),"None","")</v>
      </c>
    </row>
    <row r="20" spans="4:4" x14ac:dyDescent="0.3">
      <c r="D20" t="str">
        <f ca="1">_xlfn.IFNA(_xlfn.FORMULATEXT(H10),"")</f>
        <v>=IF(NOT((B10:B15&gt;C6)+(C10:C15&gt;=C7)),"None","")</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E14D9-3F3E-4A0C-B042-9E9E01469940}">
  <sheetPr codeName="Sheet1">
    <tabColor rgb="FFFFFF00"/>
  </sheetPr>
  <dimension ref="B2:D17"/>
  <sheetViews>
    <sheetView tabSelected="1" zoomScale="130" zoomScaleNormal="130" workbookViewId="0"/>
  </sheetViews>
  <sheetFormatPr defaultRowHeight="14.4" x14ac:dyDescent="0.3"/>
  <cols>
    <col min="1" max="1" width="2.44140625" customWidth="1"/>
    <col min="3" max="3" width="4.44140625" customWidth="1"/>
    <col min="4" max="4" width="44.21875" customWidth="1"/>
  </cols>
  <sheetData>
    <row r="2" spans="2:4" x14ac:dyDescent="0.3">
      <c r="B2" s="7" t="s">
        <v>72</v>
      </c>
      <c r="D2" s="7" t="s">
        <v>467</v>
      </c>
    </row>
    <row r="3" spans="2:4" x14ac:dyDescent="0.3">
      <c r="B3">
        <f>LEN(D2)</f>
        <v>100</v>
      </c>
    </row>
    <row r="5" spans="2:4" x14ac:dyDescent="0.3">
      <c r="D5" s="7" t="s">
        <v>73</v>
      </c>
    </row>
    <row r="6" spans="2:4" x14ac:dyDescent="0.3">
      <c r="D6" t="s">
        <v>74</v>
      </c>
    </row>
    <row r="7" spans="2:4" x14ac:dyDescent="0.3">
      <c r="D7" t="s">
        <v>75</v>
      </c>
    </row>
    <row r="8" spans="2:4" x14ac:dyDescent="0.3">
      <c r="D8" t="s">
        <v>82</v>
      </c>
    </row>
    <row r="9" spans="2:4" x14ac:dyDescent="0.3">
      <c r="D9" t="s">
        <v>83</v>
      </c>
    </row>
    <row r="10" spans="2:4" x14ac:dyDescent="0.3">
      <c r="D10" t="s">
        <v>84</v>
      </c>
    </row>
    <row r="11" spans="2:4" x14ac:dyDescent="0.3">
      <c r="D11" t="s">
        <v>326</v>
      </c>
    </row>
    <row r="12" spans="2:4" x14ac:dyDescent="0.3">
      <c r="D12" t="s">
        <v>318</v>
      </c>
    </row>
    <row r="13" spans="2:4" x14ac:dyDescent="0.3">
      <c r="D13" t="s">
        <v>319</v>
      </c>
    </row>
    <row r="14" spans="2:4" x14ac:dyDescent="0.3">
      <c r="D14" t="s">
        <v>320</v>
      </c>
    </row>
    <row r="15" spans="2:4" x14ac:dyDescent="0.3">
      <c r="D15" t="s">
        <v>321</v>
      </c>
    </row>
    <row r="16" spans="2:4" x14ac:dyDescent="0.3">
      <c r="D16" t="s">
        <v>322</v>
      </c>
    </row>
    <row r="17" spans="4:4" x14ac:dyDescent="0.3">
      <c r="D17" t="s">
        <v>323</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CDF33-6DE7-447B-9B33-366731AFA5D7}">
  <sheetPr codeName="Sheet14">
    <tabColor rgb="FF0000FF"/>
  </sheetPr>
  <dimension ref="A2:F22"/>
  <sheetViews>
    <sheetView zoomScale="145" zoomScaleNormal="145" workbookViewId="0"/>
  </sheetViews>
  <sheetFormatPr defaultColWidth="9.109375" defaultRowHeight="14.4" x14ac:dyDescent="0.3"/>
  <cols>
    <col min="1" max="1" width="5.109375" bestFit="1" customWidth="1"/>
    <col min="2" max="2" width="20" customWidth="1"/>
    <col min="3" max="3" width="11.88671875" customWidth="1"/>
    <col min="4" max="4" width="2.44140625" customWidth="1"/>
    <col min="5" max="5" width="18.44140625" bestFit="1" customWidth="1"/>
    <col min="6" max="6" width="13.44140625" bestFit="1" customWidth="1"/>
    <col min="8" max="8" width="14.44140625" customWidth="1"/>
  </cols>
  <sheetData>
    <row r="2" spans="1:6" x14ac:dyDescent="0.3">
      <c r="A2" s="7" t="s">
        <v>325</v>
      </c>
      <c r="B2" t="s">
        <v>188</v>
      </c>
    </row>
    <row r="3" spans="1:6" x14ac:dyDescent="0.3">
      <c r="B3" t="s">
        <v>189</v>
      </c>
    </row>
    <row r="4" spans="1:6" x14ac:dyDescent="0.3">
      <c r="B4" t="s">
        <v>190</v>
      </c>
    </row>
    <row r="5" spans="1:6" ht="4.5" customHeight="1" x14ac:dyDescent="0.3"/>
    <row r="6" spans="1:6" x14ac:dyDescent="0.3">
      <c r="B6" s="20" t="s">
        <v>191</v>
      </c>
      <c r="C6" s="67">
        <v>65000</v>
      </c>
    </row>
    <row r="7" spans="1:6" x14ac:dyDescent="0.3">
      <c r="B7" s="68" t="s">
        <v>192</v>
      </c>
      <c r="C7" s="69">
        <v>29500</v>
      </c>
    </row>
    <row r="8" spans="1:6" x14ac:dyDescent="0.3">
      <c r="B8" s="68" t="s">
        <v>193</v>
      </c>
      <c r="C8" s="69">
        <v>12750</v>
      </c>
    </row>
    <row r="9" spans="1:6" x14ac:dyDescent="0.3">
      <c r="B9" s="68" t="s">
        <v>194</v>
      </c>
      <c r="C9" s="69">
        <v>5750</v>
      </c>
    </row>
    <row r="10" spans="1:6" ht="15" thickBot="1" x14ac:dyDescent="0.35">
      <c r="B10" s="70" t="s">
        <v>195</v>
      </c>
      <c r="C10" s="71">
        <v>6950</v>
      </c>
    </row>
    <row r="11" spans="1:6" ht="15.6" thickTop="1" thickBot="1" x14ac:dyDescent="0.35">
      <c r="B11" s="72" t="s">
        <v>197</v>
      </c>
      <c r="C11" s="73">
        <f>SUM(C7:C10)</f>
        <v>54950</v>
      </c>
      <c r="E11" s="7" t="str">
        <f>"Formula in cell "&amp;ADDRESS(ROW(C11),COLUMN(C11),4)&amp;":"</f>
        <v>Formula in cell C11:</v>
      </c>
      <c r="F11" t="str">
        <f ca="1">_xlfn.IFNA(_xlfn.FORMULATEXT(C11),"")</f>
        <v>=SUM(C7:C10)</v>
      </c>
    </row>
    <row r="12" spans="1:6" ht="15.6" thickTop="1" thickBot="1" x14ac:dyDescent="0.35">
      <c r="B12" s="74"/>
      <c r="C12" s="75">
        <f>ABS(C6-C11)</f>
        <v>10050</v>
      </c>
      <c r="E12" s="7" t="str">
        <f>"Formula in cell "&amp;ADDRESS(ROW(C12),COLUMN(C12),4)&amp;":"</f>
        <v>Formula in cell C12:</v>
      </c>
      <c r="F12" t="str">
        <f ca="1">_xlfn.IFNA(_xlfn.FORMULATEXT(C12),"")</f>
        <v>=ABS(C6-C11)</v>
      </c>
    </row>
    <row r="13" spans="1:6" ht="4.5" customHeight="1" thickTop="1" x14ac:dyDescent="0.3"/>
    <row r="14" spans="1:6" x14ac:dyDescent="0.3">
      <c r="E14" s="7" t="str">
        <f>"Formula in cell "&amp;ADDRESS(ROW(B12),COLUMN(B12),4)&amp;":"</f>
        <v>Formula in cell B12:</v>
      </c>
      <c r="F14" t="str">
        <f ca="1">_xlfn.IFNA(_xlfn.FORMULATEXT(B12),"")</f>
        <v/>
      </c>
    </row>
    <row r="20" spans="2:2" ht="15" thickBot="1" x14ac:dyDescent="0.35">
      <c r="B20" t="s">
        <v>196</v>
      </c>
    </row>
    <row r="21" spans="2:2" ht="15.6" thickTop="1" thickBot="1" x14ac:dyDescent="0.35">
      <c r="B21" s="74" t="str">
        <f>IF(C6&gt;C11,"Net Income",IF(C6&lt;C11,"Net Loss","Break Even"))</f>
        <v>Net Income</v>
      </c>
    </row>
    <row r="22" spans="2:2" ht="15" thickTop="1" x14ac:dyDescent="0.3">
      <c r="B22" t="str" cm="1">
        <f t="array" aca="1" ref="B22" ca="1">ShowFormulas(B21)</f>
        <v>B21: =IF(C6&gt;C11,"Net Income",IF(C6&lt;C11,"Net Loss","Break Even"))</v>
      </c>
    </row>
  </sheetData>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B4F4E-5412-4368-B4F1-4918D2A68278}">
  <sheetPr>
    <tabColor rgb="FFFF0000"/>
  </sheetPr>
  <dimension ref="A2:F22"/>
  <sheetViews>
    <sheetView zoomScale="115" zoomScaleNormal="115" workbookViewId="0"/>
  </sheetViews>
  <sheetFormatPr defaultColWidth="9.109375" defaultRowHeight="14.4" x14ac:dyDescent="0.3"/>
  <cols>
    <col min="1" max="1" width="5.109375" bestFit="1" customWidth="1"/>
    <col min="2" max="2" width="20" customWidth="1"/>
    <col min="3" max="3" width="11.88671875" customWidth="1"/>
    <col min="4" max="4" width="2.44140625" customWidth="1"/>
    <col min="5" max="5" width="18.44140625" bestFit="1" customWidth="1"/>
    <col min="6" max="6" width="13.44140625" bestFit="1" customWidth="1"/>
    <col min="8" max="8" width="14.44140625" customWidth="1"/>
  </cols>
  <sheetData>
    <row r="2" spans="1:6" x14ac:dyDescent="0.3">
      <c r="A2" s="7" t="s">
        <v>325</v>
      </c>
      <c r="B2" t="s">
        <v>188</v>
      </c>
    </row>
    <row r="3" spans="1:6" x14ac:dyDescent="0.3">
      <c r="B3" t="s">
        <v>189</v>
      </c>
    </row>
    <row r="4" spans="1:6" x14ac:dyDescent="0.3">
      <c r="B4" t="s">
        <v>190</v>
      </c>
    </row>
    <row r="5" spans="1:6" ht="4.5" customHeight="1" x14ac:dyDescent="0.3"/>
    <row r="6" spans="1:6" x14ac:dyDescent="0.3">
      <c r="B6" s="20" t="s">
        <v>191</v>
      </c>
      <c r="C6" s="67">
        <v>65000</v>
      </c>
    </row>
    <row r="7" spans="1:6" x14ac:dyDescent="0.3">
      <c r="B7" s="68" t="s">
        <v>192</v>
      </c>
      <c r="C7" s="69">
        <v>29500</v>
      </c>
    </row>
    <row r="8" spans="1:6" x14ac:dyDescent="0.3">
      <c r="B8" s="68" t="s">
        <v>193</v>
      </c>
      <c r="C8" s="69">
        <v>12750</v>
      </c>
    </row>
    <row r="9" spans="1:6" x14ac:dyDescent="0.3">
      <c r="B9" s="68" t="s">
        <v>194</v>
      </c>
      <c r="C9" s="69">
        <v>5750</v>
      </c>
    </row>
    <row r="10" spans="1:6" ht="15" thickBot="1" x14ac:dyDescent="0.35">
      <c r="B10" s="70" t="s">
        <v>195</v>
      </c>
      <c r="C10" s="71">
        <v>6950</v>
      </c>
    </row>
    <row r="11" spans="1:6" ht="15.6" thickTop="1" thickBot="1" x14ac:dyDescent="0.35">
      <c r="B11" s="72" t="s">
        <v>197</v>
      </c>
      <c r="C11" s="73">
        <f>SUM(C7:C10)</f>
        <v>54950</v>
      </c>
      <c r="E11" s="7" t="str">
        <f>"Formula in cell "&amp;ADDRESS(ROW(C11),COLUMN(C11),4)&amp;":"</f>
        <v>Formula in cell C11:</v>
      </c>
      <c r="F11" t="str">
        <f ca="1">_xlfn.IFNA(_xlfn.FORMULATEXT(C11),"")</f>
        <v>=SUM(C7:C10)</v>
      </c>
    </row>
    <row r="12" spans="1:6" ht="15.6" thickTop="1" thickBot="1" x14ac:dyDescent="0.35">
      <c r="B12" s="74" t="str" cm="1">
        <f t="array" ref="B12">_xlfn.IFS(C6&gt;C11,"Net Income",C11&gt;C6,"Net Loss",TRUE,"Break Even")</f>
        <v>Net Income</v>
      </c>
      <c r="C12" s="75">
        <f>ABS(C6-C11)</f>
        <v>10050</v>
      </c>
      <c r="E12" s="7" t="str">
        <f>"Formula in cell "&amp;ADDRESS(ROW(C12),COLUMN(C12),4)&amp;":"</f>
        <v>Formula in cell C12:</v>
      </c>
      <c r="F12" t="str">
        <f ca="1">_xlfn.IFNA(_xlfn.FORMULATEXT(C12),"")</f>
        <v>=ABS(C6-C11)</v>
      </c>
    </row>
    <row r="13" spans="1:6" ht="4.5" customHeight="1" thickTop="1" x14ac:dyDescent="0.3"/>
    <row r="14" spans="1:6" x14ac:dyDescent="0.3">
      <c r="E14" s="7" t="str">
        <f>"Formula in cell "&amp;ADDRESS(ROW(B12),COLUMN(B12),4)&amp;":"</f>
        <v>Formula in cell B12:</v>
      </c>
      <c r="F14" t="str">
        <f ca="1">_xlfn.IFNA(_xlfn.FORMULATEXT(B12),"")</f>
        <v>=IFS(C6&gt;C11,"Net Income",C11&gt;C6,"Net Loss",TRUE,"Break Even")</v>
      </c>
    </row>
    <row r="20" spans="2:2" ht="15" thickBot="1" x14ac:dyDescent="0.35">
      <c r="B20" t="s">
        <v>196</v>
      </c>
    </row>
    <row r="21" spans="2:2" ht="15.6" thickTop="1" thickBot="1" x14ac:dyDescent="0.35">
      <c r="B21" s="74" t="str">
        <f>IF(C6&gt;C11,"Net Income",IF(C6&lt;C11,"Net Loss","Break Even"))</f>
        <v>Net Income</v>
      </c>
    </row>
    <row r="22" spans="2:2" ht="15" thickTop="1" x14ac:dyDescent="0.3">
      <c r="B22" t="str" cm="1">
        <f t="array" aca="1" ref="B22" ca="1">ShowFormulas(B21)</f>
        <v>B21: =IF(C6&gt;C11,"Net Income",IF(C6&lt;C11,"Net Loss","Break Even"))</v>
      </c>
    </row>
  </sheetData>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672B1-4B2E-4B82-A529-69D0F985C397}">
  <sheetPr codeName="Sheet15">
    <tabColor rgb="FF0000FF"/>
  </sheetPr>
  <dimension ref="A2:G12"/>
  <sheetViews>
    <sheetView zoomScale="175" zoomScaleNormal="175" workbookViewId="0"/>
  </sheetViews>
  <sheetFormatPr defaultColWidth="9.109375" defaultRowHeight="14.4" x14ac:dyDescent="0.3"/>
  <cols>
    <col min="1" max="1" width="5.109375" bestFit="1" customWidth="1"/>
    <col min="2" max="2" width="8.109375" customWidth="1"/>
    <col min="3" max="4" width="7.77734375" customWidth="1"/>
    <col min="5" max="5" width="10.77734375" customWidth="1"/>
    <col min="6" max="6" width="1.88671875" customWidth="1"/>
    <col min="7" max="7" width="38.88671875" bestFit="1" customWidth="1"/>
    <col min="8" max="8" width="3.21875" customWidth="1"/>
    <col min="9" max="9" width="38.88671875" bestFit="1" customWidth="1"/>
  </cols>
  <sheetData>
    <row r="2" spans="1:7" x14ac:dyDescent="0.3">
      <c r="A2" s="7" t="s">
        <v>367</v>
      </c>
      <c r="B2" t="s">
        <v>198</v>
      </c>
    </row>
    <row r="3" spans="1:7" x14ac:dyDescent="0.3">
      <c r="B3" t="s">
        <v>199</v>
      </c>
    </row>
    <row r="4" spans="1:7" ht="3" customHeight="1" x14ac:dyDescent="0.3"/>
    <row r="5" spans="1:7" x14ac:dyDescent="0.3">
      <c r="B5" s="17" t="s">
        <v>146</v>
      </c>
      <c r="C5" s="17" t="s">
        <v>150</v>
      </c>
      <c r="D5" s="17" t="s">
        <v>200</v>
      </c>
      <c r="E5" s="17" t="s">
        <v>200</v>
      </c>
      <c r="G5" s="7" t="str">
        <f>"Formula in cell "&amp;ADDRESS(ROW(E6),COLUMN(E6),4)&amp;":"</f>
        <v>Formula in cell E6:</v>
      </c>
    </row>
    <row r="6" spans="1:7" x14ac:dyDescent="0.3">
      <c r="B6" s="20" t="s">
        <v>152</v>
      </c>
      <c r="C6" s="20">
        <v>43.95</v>
      </c>
      <c r="D6" s="20">
        <v>32</v>
      </c>
      <c r="E6" s="76" cm="1">
        <f t="array" ref="E6:E8">C6:C8*D6:D8</f>
        <v>1406.4</v>
      </c>
      <c r="G6" s="21"/>
    </row>
    <row r="7" spans="1:7" x14ac:dyDescent="0.3">
      <c r="B7" s="20" t="s">
        <v>154</v>
      </c>
      <c r="C7" s="20">
        <v>26.95</v>
      </c>
      <c r="D7" s="20">
        <v>25</v>
      </c>
      <c r="E7" s="76">
        <v>673.75</v>
      </c>
    </row>
    <row r="8" spans="1:7" x14ac:dyDescent="0.3">
      <c r="B8" s="20" t="s">
        <v>155</v>
      </c>
      <c r="C8" s="20">
        <v>25.95</v>
      </c>
      <c r="D8" s="20">
        <v>44</v>
      </c>
      <c r="E8" s="76">
        <v>1141.8</v>
      </c>
      <c r="G8" s="7" t="str">
        <f>"Formula in cell "&amp;ADDRESS(ROW(G6),COLUMN(G6),4)&amp;":"</f>
        <v>Formula in cell G6:</v>
      </c>
    </row>
    <row r="9" spans="1:7" x14ac:dyDescent="0.3">
      <c r="G9" t="str">
        <f ca="1">_xlfn.IFNA(_xlfn.FORMULATEXT(G6),"")</f>
        <v/>
      </c>
    </row>
    <row r="12" spans="1:7" ht="4.5" customHeight="1" x14ac:dyDescent="0.3"/>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3418D-B8DF-4404-9FC5-28DA85E894F7}">
  <sheetPr>
    <tabColor rgb="FFFF0000"/>
  </sheetPr>
  <dimension ref="A2:G12"/>
  <sheetViews>
    <sheetView zoomScale="130" zoomScaleNormal="130" workbookViewId="0"/>
  </sheetViews>
  <sheetFormatPr defaultColWidth="9.109375" defaultRowHeight="14.4" x14ac:dyDescent="0.3"/>
  <cols>
    <col min="1" max="1" width="5.109375" bestFit="1" customWidth="1"/>
    <col min="2" max="2" width="8.109375" customWidth="1"/>
    <col min="3" max="4" width="7.77734375" customWidth="1"/>
    <col min="5" max="5" width="10.77734375" customWidth="1"/>
    <col min="6" max="6" width="1.88671875" customWidth="1"/>
    <col min="7" max="7" width="38.88671875" bestFit="1" customWidth="1"/>
    <col min="8" max="8" width="3.21875" customWidth="1"/>
    <col min="9" max="9" width="38.88671875" bestFit="1" customWidth="1"/>
  </cols>
  <sheetData>
    <row r="2" spans="1:7" x14ac:dyDescent="0.3">
      <c r="A2" s="7" t="s">
        <v>367</v>
      </c>
      <c r="B2" t="s">
        <v>198</v>
      </c>
    </row>
    <row r="3" spans="1:7" x14ac:dyDescent="0.3">
      <c r="B3" t="s">
        <v>199</v>
      </c>
    </row>
    <row r="4" spans="1:7" ht="3" customHeight="1" x14ac:dyDescent="0.3"/>
    <row r="5" spans="1:7" x14ac:dyDescent="0.3">
      <c r="B5" s="17" t="s">
        <v>146</v>
      </c>
      <c r="C5" s="17" t="s">
        <v>150</v>
      </c>
      <c r="D5" s="17" t="s">
        <v>200</v>
      </c>
      <c r="E5" s="17" t="s">
        <v>200</v>
      </c>
      <c r="G5" s="7" t="str">
        <f>"Formula in cell "&amp;ADDRESS(ROW(E6),COLUMN(E6),4)&amp;":"</f>
        <v>Formula in cell E6:</v>
      </c>
    </row>
    <row r="6" spans="1:7" x14ac:dyDescent="0.3">
      <c r="B6" s="20" t="s">
        <v>152</v>
      </c>
      <c r="C6" s="20">
        <v>43.95</v>
      </c>
      <c r="D6" s="20">
        <v>32</v>
      </c>
      <c r="E6" s="76" cm="1">
        <f t="array" ref="E6:E8">C6:C8*D6:D8</f>
        <v>1406.4</v>
      </c>
      <c r="G6" s="21" t="str">
        <f ca="1">_xlfn.IFNA(_xlfn.FORMULATEXT(E6),"")</f>
        <v>=C6:C8*D6:D8</v>
      </c>
    </row>
    <row r="7" spans="1:7" x14ac:dyDescent="0.3">
      <c r="B7" s="20" t="s">
        <v>154</v>
      </c>
      <c r="C7" s="20">
        <v>26.95</v>
      </c>
      <c r="D7" s="20">
        <v>25</v>
      </c>
      <c r="E7" s="76">
        <v>673.75</v>
      </c>
    </row>
    <row r="8" spans="1:7" x14ac:dyDescent="0.3">
      <c r="B8" s="20" t="s">
        <v>155</v>
      </c>
      <c r="C8" s="20">
        <v>25.95</v>
      </c>
      <c r="D8" s="20">
        <v>44</v>
      </c>
      <c r="E8" s="76">
        <v>1141.8</v>
      </c>
      <c r="G8" s="7" t="str">
        <f>"Formula in cell "&amp;ADDRESS(ROW(G6),COLUMN(G6),4)&amp;":"</f>
        <v>Formula in cell G6:</v>
      </c>
    </row>
    <row r="12" spans="1:7" ht="4.5" customHeight="1" x14ac:dyDescent="0.3"/>
  </sheetData>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DCB3B-C803-47F3-BAA7-440B8794A7AE}">
  <sheetPr codeName="Sheet16">
    <tabColor rgb="FF0000FF"/>
  </sheetPr>
  <dimension ref="A2:V17"/>
  <sheetViews>
    <sheetView zoomScale="115" zoomScaleNormal="115" workbookViewId="0"/>
  </sheetViews>
  <sheetFormatPr defaultColWidth="9.109375" defaultRowHeight="14.4" x14ac:dyDescent="0.3"/>
  <cols>
    <col min="1" max="1" width="5" bestFit="1" customWidth="1"/>
    <col min="2" max="2" width="11.44140625" customWidth="1"/>
    <col min="3" max="6" width="6.88671875" bestFit="1" customWidth="1"/>
    <col min="7" max="7" width="8.33203125" customWidth="1"/>
    <col min="8" max="10" width="10" bestFit="1" customWidth="1"/>
  </cols>
  <sheetData>
    <row r="2" spans="1:22" x14ac:dyDescent="0.3">
      <c r="A2" s="7" t="s">
        <v>368</v>
      </c>
      <c r="B2" t="s">
        <v>201</v>
      </c>
    </row>
    <row r="4" spans="1:22" x14ac:dyDescent="0.3">
      <c r="B4" s="64" t="s">
        <v>204</v>
      </c>
      <c r="C4" s="77" t="s">
        <v>205</v>
      </c>
      <c r="D4" s="77" t="s">
        <v>206</v>
      </c>
      <c r="E4" s="77" t="s">
        <v>207</v>
      </c>
      <c r="F4" s="77" t="s">
        <v>208</v>
      </c>
      <c r="G4" s="64" t="s">
        <v>209</v>
      </c>
      <c r="H4" s="64" t="s">
        <v>210</v>
      </c>
      <c r="I4" s="64" t="s">
        <v>210</v>
      </c>
      <c r="J4" s="64" t="s">
        <v>210</v>
      </c>
    </row>
    <row r="5" spans="1:22" x14ac:dyDescent="0.3">
      <c r="B5" s="78" t="s">
        <v>212</v>
      </c>
      <c r="C5" s="79">
        <v>0</v>
      </c>
      <c r="D5" s="80">
        <v>86.87</v>
      </c>
      <c r="E5" s="81">
        <v>92.4</v>
      </c>
      <c r="F5" s="79">
        <v>80.89</v>
      </c>
      <c r="G5" s="80">
        <v>85.09</v>
      </c>
      <c r="H5" s="21"/>
      <c r="I5" s="21"/>
      <c r="J5" s="21"/>
    </row>
    <row r="6" spans="1:22" x14ac:dyDescent="0.3">
      <c r="B6" s="78" t="s">
        <v>213</v>
      </c>
      <c r="C6" s="79">
        <v>72.09</v>
      </c>
      <c r="D6" s="80">
        <v>108.27</v>
      </c>
      <c r="E6" s="81">
        <v>73.7</v>
      </c>
      <c r="F6" s="79">
        <v>93.34</v>
      </c>
      <c r="G6" s="80">
        <v>0</v>
      </c>
      <c r="H6" s="21"/>
      <c r="I6" s="21"/>
      <c r="J6" s="21"/>
    </row>
    <row r="7" spans="1:22" x14ac:dyDescent="0.3">
      <c r="B7" s="78" t="s">
        <v>214</v>
      </c>
      <c r="C7" s="79">
        <v>55.26</v>
      </c>
      <c r="D7" s="80">
        <v>85.96</v>
      </c>
      <c r="E7" s="81">
        <v>89.82</v>
      </c>
      <c r="F7" s="79">
        <v>34.85</v>
      </c>
      <c r="G7" s="80">
        <v>31.66</v>
      </c>
      <c r="H7" s="21"/>
      <c r="I7" s="21"/>
      <c r="J7" s="21"/>
    </row>
    <row r="8" spans="1:22" x14ac:dyDescent="0.3">
      <c r="B8" s="78"/>
      <c r="C8" s="79"/>
      <c r="D8" s="80"/>
      <c r="E8" s="81"/>
      <c r="F8" s="79"/>
      <c r="G8" s="80"/>
      <c r="H8" s="21"/>
      <c r="I8" s="21"/>
      <c r="J8" s="21"/>
    </row>
    <row r="9" spans="1:22" x14ac:dyDescent="0.3">
      <c r="B9" s="78"/>
      <c r="C9" s="79"/>
      <c r="D9" s="80"/>
      <c r="E9" s="81"/>
      <c r="F9" s="79"/>
      <c r="G9" s="80"/>
      <c r="H9" s="21"/>
      <c r="I9" s="21"/>
      <c r="J9" s="21"/>
    </row>
    <row r="10" spans="1:22" x14ac:dyDescent="0.3">
      <c r="B10" s="78"/>
      <c r="C10" s="79"/>
      <c r="D10" s="80"/>
      <c r="E10" s="81"/>
      <c r="F10" s="79"/>
      <c r="G10" s="80"/>
      <c r="H10" s="21"/>
      <c r="I10" s="21"/>
      <c r="J10" s="21"/>
    </row>
    <row r="12" spans="1:22" x14ac:dyDescent="0.3">
      <c r="B12" s="7" t="str">
        <f>"Formula in cell "&amp;ADDRESS(ROW(H5),COLUMN(H5),4)&amp;":"</f>
        <v>Formula in cell H5:</v>
      </c>
      <c r="D12" t="str">
        <f ca="1">_xlfn.IFNA(_xlfn.FORMULATEXT(H5),"")</f>
        <v/>
      </c>
    </row>
    <row r="13" spans="1:22" x14ac:dyDescent="0.3">
      <c r="B13" s="7" t="str">
        <f>"Formula in cell "&amp;ADDRESS(ROW(I5),COLUMN(I5),4)&amp;":"</f>
        <v>Formula in cell I5:</v>
      </c>
      <c r="D13" t="str">
        <f ca="1">_xlfn.IFNA(_xlfn.FORMULATEXT(I5),"")</f>
        <v/>
      </c>
      <c r="V13" s="7" t="s">
        <v>211</v>
      </c>
    </row>
    <row r="14" spans="1:22" x14ac:dyDescent="0.3">
      <c r="B14" s="7" t="str">
        <f>"Formula in cell "&amp;ADDRESS(ROW(J5),COLUMN(J5),4)&amp;":"</f>
        <v>Formula in cell J5:</v>
      </c>
      <c r="D14" t="str">
        <f ca="1">_xlfn.IFNA(_xlfn.FORMULATEXT(J5),"")</f>
        <v/>
      </c>
      <c r="V14" s="21"/>
    </row>
    <row r="15" spans="1:22" x14ac:dyDescent="0.3">
      <c r="C15" s="125" t="s">
        <v>202</v>
      </c>
      <c r="V15" s="21"/>
    </row>
    <row r="16" spans="1:22" x14ac:dyDescent="0.3">
      <c r="C16" s="125" t="s">
        <v>203</v>
      </c>
      <c r="V16" s="21"/>
    </row>
    <row r="17" spans="3:22" x14ac:dyDescent="0.3">
      <c r="C17" s="125" t="s">
        <v>327</v>
      </c>
      <c r="V17" s="21"/>
    </row>
  </sheetData>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22525-1DD9-4689-AA07-C0146B8A89F1}">
  <sheetPr codeName="Sheet17">
    <tabColor rgb="FF0000FF"/>
  </sheetPr>
  <dimension ref="A1:M22"/>
  <sheetViews>
    <sheetView zoomScale="130" zoomScaleNormal="130" workbookViewId="0">
      <selection activeCell="G10" sqref="G10"/>
    </sheetView>
  </sheetViews>
  <sheetFormatPr defaultColWidth="9.109375" defaultRowHeight="14.4" x14ac:dyDescent="0.3"/>
  <cols>
    <col min="1" max="1" width="6.6640625" customWidth="1"/>
    <col min="2" max="2" width="15.109375" customWidth="1"/>
    <col min="3" max="3" width="14.77734375" customWidth="1"/>
    <col min="4" max="4" width="3.44140625" customWidth="1"/>
    <col min="5" max="5" width="10.88671875" customWidth="1"/>
    <col min="6" max="6" width="9.21875" bestFit="1" customWidth="1"/>
    <col min="7" max="7" width="14.44140625" customWidth="1"/>
    <col min="8" max="8" width="2.77734375" customWidth="1"/>
    <col min="9" max="9" width="29.21875" bestFit="1" customWidth="1"/>
    <col min="13" max="13" width="20.109375" bestFit="1" customWidth="1"/>
    <col min="24" max="24" width="21.109375" bestFit="1" customWidth="1"/>
  </cols>
  <sheetData>
    <row r="1" spans="1:13" ht="5.25" customHeight="1" x14ac:dyDescent="0.3"/>
    <row r="2" spans="1:13" ht="23.4" x14ac:dyDescent="0.45">
      <c r="B2" s="43" t="s">
        <v>217</v>
      </c>
    </row>
    <row r="4" spans="1:13" x14ac:dyDescent="0.3">
      <c r="A4" s="7" t="s">
        <v>369</v>
      </c>
      <c r="B4" t="s">
        <v>218</v>
      </c>
    </row>
    <row r="5" spans="1:13" x14ac:dyDescent="0.3">
      <c r="B5" t="s">
        <v>219</v>
      </c>
    </row>
    <row r="6" spans="1:13" x14ac:dyDescent="0.3">
      <c r="B6" s="9" t="s">
        <v>220</v>
      </c>
    </row>
    <row r="7" spans="1:13" x14ac:dyDescent="0.3">
      <c r="B7" s="9" t="s">
        <v>221</v>
      </c>
      <c r="M7" s="7" t="s">
        <v>211</v>
      </c>
    </row>
    <row r="8" spans="1:13" ht="5.25" customHeight="1" x14ac:dyDescent="0.3"/>
    <row r="9" spans="1:13" ht="28.8" x14ac:dyDescent="0.3">
      <c r="B9" s="55" t="s">
        <v>146</v>
      </c>
      <c r="C9" s="55" t="s">
        <v>147</v>
      </c>
      <c r="E9" s="55" t="s">
        <v>146</v>
      </c>
      <c r="F9" s="55" t="s">
        <v>222</v>
      </c>
      <c r="G9" s="55" t="s">
        <v>223</v>
      </c>
      <c r="M9" s="55" t="s">
        <v>223</v>
      </c>
    </row>
    <row r="10" spans="1:13" x14ac:dyDescent="0.3">
      <c r="B10" s="58" t="s">
        <v>152</v>
      </c>
      <c r="C10" s="82">
        <v>154</v>
      </c>
      <c r="E10" s="58" t="s">
        <v>152</v>
      </c>
      <c r="F10" s="21" cm="1">
        <f t="array" ref="F10:F11">AVERAGEIFS(C10:C22,B10:B22,E10:E11)</f>
        <v>67.333333333333329</v>
      </c>
      <c r="G10" s="21" cm="1">
        <f t="array" ref="G10">_xlfn.STDEV.S(IF($B$10:$B$22=E10,$C$10:$C$22))</f>
        <v>78.50053078376817</v>
      </c>
      <c r="M10" s="21" cm="1">
        <f t="array" ref="M10:M11">_xlfn.BYROW(E10:E11,_xlfn.LAMBDA(_xlpm.r,_xlfn.STDEV.S(IF(B10:B22=_xlpm.r,C10:C22))))</f>
        <v>78.50053078376817</v>
      </c>
    </row>
    <row r="11" spans="1:13" x14ac:dyDescent="0.3">
      <c r="B11" s="58" t="s">
        <v>154</v>
      </c>
      <c r="C11" s="82">
        <v>12</v>
      </c>
      <c r="E11" s="58" t="s">
        <v>154</v>
      </c>
      <c r="F11" s="21">
        <v>63.75</v>
      </c>
      <c r="G11" s="21" cm="1">
        <f t="array" ref="G11">_xlfn.STDEV.S(IF($B$10:$B$22=E11,$C$10:$C$22))</f>
        <v>44.319860108082473</v>
      </c>
      <c r="M11" s="21">
        <v>44.319860108082473</v>
      </c>
    </row>
    <row r="12" spans="1:13" x14ac:dyDescent="0.3">
      <c r="B12" s="58" t="s">
        <v>152</v>
      </c>
      <c r="C12" s="82">
        <v>1</v>
      </c>
    </row>
    <row r="13" spans="1:13" x14ac:dyDescent="0.3">
      <c r="B13" s="58" t="s">
        <v>153</v>
      </c>
      <c r="C13" s="82">
        <v>256</v>
      </c>
      <c r="E13" s="7" t="str">
        <f>"Formula in cell "&amp;ADDRESS(ROW(F10),COLUMN(F10),4)&amp;":"</f>
        <v>Formula in cell F10:</v>
      </c>
    </row>
    <row r="14" spans="1:13" x14ac:dyDescent="0.3">
      <c r="B14" s="58" t="s">
        <v>155</v>
      </c>
      <c r="C14" s="82">
        <v>1</v>
      </c>
      <c r="E14" t="str">
        <f ca="1">_xlfn.IFNA(_xlfn.FORMULATEXT(F10),"")</f>
        <v>=AVERAGEIFS(C10:C22,B10:B22,E10:E11)</v>
      </c>
    </row>
    <row r="15" spans="1:13" x14ac:dyDescent="0.3">
      <c r="B15" s="58" t="s">
        <v>155</v>
      </c>
      <c r="C15" s="82">
        <v>57</v>
      </c>
      <c r="E15" s="7" t="str">
        <f>"Formula in cell "&amp;ADDRESS(ROW(G10),COLUMN(G10),4)&amp;":"</f>
        <v>Formula in cell G10:</v>
      </c>
    </row>
    <row r="16" spans="1:13" x14ac:dyDescent="0.3">
      <c r="B16" s="58" t="s">
        <v>153</v>
      </c>
      <c r="C16" s="82">
        <v>249</v>
      </c>
      <c r="E16" t="str">
        <f ca="1">_xlfn.IFNA(_xlfn.FORMULATEXT(G10),"")</f>
        <v>=STDEV.S(IF($B$10:$B$22=E10,$C$10:$C$22))</v>
      </c>
    </row>
    <row r="17" spans="2:5" x14ac:dyDescent="0.3">
      <c r="B17" s="58" t="s">
        <v>152</v>
      </c>
      <c r="C17" s="82">
        <v>47</v>
      </c>
      <c r="E17" t="s">
        <v>224</v>
      </c>
    </row>
    <row r="18" spans="2:5" hidden="1" x14ac:dyDescent="0.3">
      <c r="B18" s="58" t="s">
        <v>154</v>
      </c>
      <c r="C18" s="82">
        <v>120</v>
      </c>
    </row>
    <row r="19" spans="2:5" hidden="1" x14ac:dyDescent="0.3">
      <c r="B19" s="58" t="s">
        <v>154</v>
      </c>
      <c r="C19" s="82">
        <v>66</v>
      </c>
    </row>
    <row r="20" spans="2:5" hidden="1" x14ac:dyDescent="0.3">
      <c r="B20" s="58" t="s">
        <v>154</v>
      </c>
      <c r="C20" s="82">
        <v>57</v>
      </c>
    </row>
    <row r="21" spans="2:5" hidden="1" x14ac:dyDescent="0.3">
      <c r="B21" s="58" t="s">
        <v>153</v>
      </c>
      <c r="C21" s="82">
        <v>250</v>
      </c>
    </row>
    <row r="22" spans="2:5" x14ac:dyDescent="0.3">
      <c r="B22" s="58" t="s">
        <v>155</v>
      </c>
      <c r="C22" s="82">
        <v>32</v>
      </c>
    </row>
  </sheetData>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F275A-996F-4159-A7F3-77B86204FBDD}">
  <sheetPr codeName="Sheet18">
    <tabColor rgb="FF0000FF"/>
  </sheetPr>
  <dimension ref="A1:AC33"/>
  <sheetViews>
    <sheetView zoomScaleNormal="100" workbookViewId="0">
      <selection activeCell="G10" sqref="G10"/>
    </sheetView>
  </sheetViews>
  <sheetFormatPr defaultColWidth="9.109375" defaultRowHeight="14.4" x14ac:dyDescent="0.3"/>
  <cols>
    <col min="1" max="1" width="1.77734375" customWidth="1"/>
    <col min="2" max="2" width="5" bestFit="1" customWidth="1"/>
    <col min="3" max="3" width="7.88671875" bestFit="1" customWidth="1"/>
    <col min="4" max="6" width="9.44140625" bestFit="1" customWidth="1"/>
    <col min="7" max="8" width="9.88671875" customWidth="1"/>
    <col min="9" max="9" width="16.44140625" customWidth="1"/>
    <col min="10" max="23" width="9" customWidth="1"/>
  </cols>
  <sheetData>
    <row r="1" spans="1:6" ht="5.4" customHeight="1" x14ac:dyDescent="0.3"/>
    <row r="2" spans="1:6" ht="23.4" x14ac:dyDescent="0.45">
      <c r="A2" s="42"/>
      <c r="C2" s="43" t="s">
        <v>225</v>
      </c>
    </row>
    <row r="3" spans="1:6" ht="5.4" customHeight="1" x14ac:dyDescent="0.3"/>
    <row r="4" spans="1:6" x14ac:dyDescent="0.3">
      <c r="B4" s="7" t="s">
        <v>370</v>
      </c>
      <c r="C4" t="s">
        <v>226</v>
      </c>
    </row>
    <row r="5" spans="1:6" x14ac:dyDescent="0.3">
      <c r="C5" t="s">
        <v>227</v>
      </c>
    </row>
    <row r="6" spans="1:6" x14ac:dyDescent="0.3">
      <c r="C6" t="s">
        <v>228</v>
      </c>
    </row>
    <row r="7" spans="1:6" x14ac:dyDescent="0.3">
      <c r="C7" t="s">
        <v>229</v>
      </c>
    </row>
    <row r="8" spans="1:6" ht="3.75" customHeight="1" x14ac:dyDescent="0.3"/>
    <row r="9" spans="1:6" x14ac:dyDescent="0.3">
      <c r="C9" s="88" t="s">
        <v>146</v>
      </c>
      <c r="D9" s="157" t="s">
        <v>230</v>
      </c>
      <c r="E9" s="88" t="s">
        <v>231</v>
      </c>
    </row>
    <row r="10" spans="1:6" x14ac:dyDescent="0.3">
      <c r="C10" s="20" t="s">
        <v>152</v>
      </c>
      <c r="D10" s="157"/>
      <c r="E10" s="20" t="s">
        <v>232</v>
      </c>
    </row>
    <row r="11" spans="1:6" ht="3.75" customHeight="1" x14ac:dyDescent="0.3"/>
    <row r="12" spans="1:6" x14ac:dyDescent="0.3">
      <c r="C12" s="89" t="s">
        <v>233</v>
      </c>
      <c r="D12" s="21" cm="1">
        <f t="array" ref="D12">SUM(IF((D23:D33=C10)+(E23:E33=E10),1))</f>
        <v>4</v>
      </c>
      <c r="F12" t="str" cm="1">
        <f t="array" aca="1" ref="F12" ca="1">ShowFormulas(D12)</f>
        <v>D12: =SUM(IF((D23:D33=C10)+(E23:E33=E10),1))</v>
      </c>
    </row>
    <row r="13" spans="1:6" x14ac:dyDescent="0.3">
      <c r="C13" s="89" t="s">
        <v>234</v>
      </c>
      <c r="D13" s="21" cm="1">
        <f t="array" ref="D13">SUM(IF((D23:D33=C10)+(E23:E33=E10),C23:C33))</f>
        <v>120</v>
      </c>
      <c r="F13" t="str" cm="1">
        <f t="array" aca="1" ref="F13" ca="1">ShowFormulas(D13)</f>
        <v>D13: =SUM(IF((D23:D33=C10)+(E23:E33=E10),C23:C33))</v>
      </c>
    </row>
    <row r="14" spans="1:6" x14ac:dyDescent="0.3">
      <c r="C14" s="89" t="s">
        <v>233</v>
      </c>
      <c r="D14" s="21" cm="1">
        <f t="array" ref="D14">COUNT(_xlfn._xlws.FILTER(C23:C33,(D23:D33=C10)+(E23:E33=E10)))</f>
        <v>4</v>
      </c>
      <c r="F14" t="str" cm="1">
        <f t="array" aca="1" ref="F14" ca="1">ShowFormulas(D14)</f>
        <v>D14: =COUNT(FILTER(C23:C33,(D23:D33=C10)+(E23:E33=E10)))</v>
      </c>
    </row>
    <row r="15" spans="1:6" x14ac:dyDescent="0.3">
      <c r="C15" s="89" t="s">
        <v>234</v>
      </c>
      <c r="D15" s="21" cm="1">
        <f t="array" ref="D15">SUM(_xlfn._xlws.FILTER(C23:C33,(D23:D33=C10)+(E23:E33=E10)))</f>
        <v>120</v>
      </c>
      <c r="F15" t="str" cm="1">
        <f t="array" aca="1" ref="F15" ca="1">ShowFormulas(D15)</f>
        <v>D15: =SUM(FILTER(C23:C33,(D23:D33=C10)+(E23:E33=E10)))</v>
      </c>
    </row>
    <row r="16" spans="1:6" x14ac:dyDescent="0.3">
      <c r="C16" s="89" t="s">
        <v>235</v>
      </c>
      <c r="D16" s="21" cm="1">
        <f t="array" ref="D16">AVERAGE(_xlfn._xlws.FILTER(C23:C33,(D23:D33=C10)+(E23:E33=E10)))</f>
        <v>30</v>
      </c>
      <c r="F16" t="str" cm="1">
        <f t="array" aca="1" ref="F16" ca="1">ShowFormulas(D16)</f>
        <v>D16: =AVERAGE(FILTER(C23:C33,(D23:D33=C10)+(E23:E33=E10)))</v>
      </c>
    </row>
    <row r="17" spans="3:29" x14ac:dyDescent="0.3">
      <c r="C17" s="89" t="s">
        <v>236</v>
      </c>
      <c r="D17" s="21" cm="1">
        <f t="array" ref="D17">MAX(_xlfn._xlws.FILTER(C23:C33,(D23:D33=C10)+(E23:E33=E10)))</f>
        <v>50</v>
      </c>
      <c r="F17" t="str" cm="1">
        <f t="array" aca="1" ref="F17" ca="1">ShowFormulas(D17)</f>
        <v>D17: =MAX(FILTER(C23:C33,(D23:D33=C10)+(E23:E33=E10)))</v>
      </c>
    </row>
    <row r="18" spans="3:29" x14ac:dyDescent="0.3">
      <c r="C18" s="89" t="s">
        <v>237</v>
      </c>
      <c r="D18" s="21" cm="1">
        <f t="array" ref="D18">MIN(_xlfn._xlws.FILTER(C23:C33,(D23:D33=C10)+(E23:E33=E10)))</f>
        <v>10</v>
      </c>
      <c r="F18" t="str" cm="1">
        <f t="array" aca="1" ref="F18" ca="1">ShowFormulas(D18)</f>
        <v>D18: =MIN(FILTER(C23:C33,(D23:D33=C10)+(E23:E33=E10)))</v>
      </c>
    </row>
    <row r="19" spans="3:29" ht="5.4" customHeight="1" x14ac:dyDescent="0.3"/>
    <row r="20" spans="3:29" x14ac:dyDescent="0.3">
      <c r="C20" s="7" t="s">
        <v>238</v>
      </c>
    </row>
    <row r="21" spans="3:29" ht="5.4" customHeight="1" x14ac:dyDescent="0.3"/>
    <row r="22" spans="3:29" x14ac:dyDescent="0.3">
      <c r="C22" s="89" t="s">
        <v>132</v>
      </c>
      <c r="D22" s="89" t="s">
        <v>146</v>
      </c>
      <c r="E22" s="89" t="s">
        <v>231</v>
      </c>
      <c r="G22" s="64" t="s">
        <v>146</v>
      </c>
      <c r="H22" s="64" t="s">
        <v>231</v>
      </c>
      <c r="I22" s="64" t="s">
        <v>40</v>
      </c>
      <c r="Y22" t="s">
        <v>239</v>
      </c>
      <c r="AC22" t="str">
        <f>C9&amp;" = "&amp;Y24&amp;" OR "&amp;E9&amp;" = "&amp;Z24</f>
        <v>Product = Quad OR Sales Rep = Abdi</v>
      </c>
    </row>
    <row r="23" spans="3:29" x14ac:dyDescent="0.3">
      <c r="C23" s="20">
        <v>50</v>
      </c>
      <c r="D23" s="20" t="s">
        <v>152</v>
      </c>
      <c r="E23" s="20" t="s">
        <v>232</v>
      </c>
      <c r="G23" s="20" t="b" cm="1">
        <f t="array" ref="G23:G33">D23:D33=C10</f>
        <v>1</v>
      </c>
      <c r="H23" s="20" t="b" cm="1">
        <f t="array" ref="H23:H33">E23:E33=E10</f>
        <v>1</v>
      </c>
      <c r="I23" s="20" t="str" cm="1">
        <f t="array" ref="I23:I33">G23:G33&amp;" + "&amp;H23:H33&amp;" = "&amp;_xlfn.ANCHORARRAY(G23)+_xlfn.ANCHORARRAY(H23)</f>
        <v>TRUE + TRUE = 2</v>
      </c>
    </row>
    <row r="24" spans="3:29" x14ac:dyDescent="0.3">
      <c r="C24" s="20">
        <v>30</v>
      </c>
      <c r="D24" s="20" t="s">
        <v>240</v>
      </c>
      <c r="E24" s="20" t="s">
        <v>241</v>
      </c>
      <c r="G24" s="20" t="b">
        <v>0</v>
      </c>
      <c r="H24" s="20" t="b">
        <v>0</v>
      </c>
      <c r="I24" s="20" t="str">
        <v>FALSE + FALSE = 0</v>
      </c>
      <c r="Y24" s="20" t="s">
        <v>152</v>
      </c>
      <c r="Z24" s="20" t="s">
        <v>232</v>
      </c>
      <c r="AA24" s="89" t="s">
        <v>235</v>
      </c>
      <c r="AB24" s="21" cm="1">
        <f t="array" ref="AB24">AVERAGE(IF((D23:D33=Y24)+(E23:E33=Z24),C23:C33))</f>
        <v>30</v>
      </c>
      <c r="AC24" t="str">
        <f ca="1">_xlfn.IFNA("Formula in "&amp;ADDRESS(ROW(AB24),COLUMN(AB24),4)&amp;": "&amp;_xlfn.FORMULATEXT(AB24),"")</f>
        <v>Formula in AB24: =AVERAGE(IF((D23:D33=Y24)+(E23:E33=Z24),C23:C33))</v>
      </c>
    </row>
    <row r="25" spans="3:29" x14ac:dyDescent="0.3">
      <c r="C25" s="20">
        <v>50</v>
      </c>
      <c r="D25" s="20" t="s">
        <v>153</v>
      </c>
      <c r="E25" s="20" t="s">
        <v>242</v>
      </c>
      <c r="G25" s="20" t="b">
        <v>0</v>
      </c>
      <c r="H25" s="20" t="b">
        <v>0</v>
      </c>
      <c r="I25" s="20" t="str">
        <v>FALSE + FALSE = 0</v>
      </c>
      <c r="Y25" s="20" t="s">
        <v>152</v>
      </c>
      <c r="Z25" s="20" t="s">
        <v>232</v>
      </c>
      <c r="AA25" s="89" t="s">
        <v>233</v>
      </c>
      <c r="AB25" s="21" cm="1">
        <f t="array" ref="AB25">SUM(IF((D23:D33=C10)+(E23:E33=E10),1))</f>
        <v>4</v>
      </c>
      <c r="AC25" t="str">
        <f t="shared" ref="AC25:AC26" ca="1" si="0">_xlfn.IFNA("Formula in "&amp;ADDRESS(ROW(AB25),COLUMN(AB25),4)&amp;": "&amp;_xlfn.FORMULATEXT(AB25),"")</f>
        <v>Formula in AB25: =SUM(IF((D23:D33=C10)+(E23:E33=E10),1))</v>
      </c>
    </row>
    <row r="26" spans="3:29" x14ac:dyDescent="0.3">
      <c r="C26" s="20">
        <v>30</v>
      </c>
      <c r="D26" s="20" t="s">
        <v>155</v>
      </c>
      <c r="E26" s="20" t="s">
        <v>243</v>
      </c>
      <c r="G26" s="20" t="b">
        <v>0</v>
      </c>
      <c r="H26" s="20" t="b">
        <v>0</v>
      </c>
      <c r="I26" s="20" t="str">
        <v>FALSE + FALSE = 0</v>
      </c>
      <c r="Y26" s="20" t="s">
        <v>152</v>
      </c>
      <c r="Z26" s="20" t="s">
        <v>232</v>
      </c>
      <c r="AA26" s="89" t="s">
        <v>234</v>
      </c>
      <c r="AB26" s="21">
        <f>SUMIFS(C23:C33,D23:D33,C10)+SUMIFS(C23:C33,E23:E33,E10)-SUMIFS(C23:C33,D23:D33,C10,E23:E33,E10)</f>
        <v>120</v>
      </c>
      <c r="AC26" t="str">
        <f t="shared" ca="1" si="0"/>
        <v>Formula in AB26: =SUMIFS(C23:C33,D23:D33,C10)+SUMIFS(C23:C33,E23:E33,E10)-SUMIFS(C23:C33,D23:D33,C10,E23:E33,E10)</v>
      </c>
    </row>
    <row r="27" spans="3:29" x14ac:dyDescent="0.3">
      <c r="C27" s="20">
        <v>10</v>
      </c>
      <c r="D27" s="20" t="s">
        <v>155</v>
      </c>
      <c r="E27" s="20" t="s">
        <v>232</v>
      </c>
      <c r="G27" s="20" t="b">
        <v>0</v>
      </c>
      <c r="H27" s="20" t="b">
        <v>1</v>
      </c>
      <c r="I27" s="20" t="str">
        <v>FALSE + TRUE = 1</v>
      </c>
    </row>
    <row r="28" spans="3:29" x14ac:dyDescent="0.3">
      <c r="C28" s="20">
        <v>50</v>
      </c>
      <c r="D28" s="20" t="s">
        <v>152</v>
      </c>
      <c r="E28" s="20" t="s">
        <v>232</v>
      </c>
      <c r="G28" s="20" t="b">
        <v>1</v>
      </c>
      <c r="H28" s="20" t="b">
        <v>1</v>
      </c>
      <c r="I28" s="20" t="str">
        <v>TRUE + TRUE = 2</v>
      </c>
      <c r="Y28" s="64" t="s">
        <v>146</v>
      </c>
      <c r="Z28" s="64" t="s">
        <v>231</v>
      </c>
      <c r="AA28" s="89" t="s">
        <v>235</v>
      </c>
    </row>
    <row r="29" spans="3:29" x14ac:dyDescent="0.3">
      <c r="C29" s="20">
        <v>10</v>
      </c>
      <c r="D29" s="20" t="s">
        <v>152</v>
      </c>
      <c r="E29" s="20" t="s">
        <v>241</v>
      </c>
      <c r="G29" s="20" t="b">
        <v>1</v>
      </c>
      <c r="H29" s="20" t="b">
        <v>0</v>
      </c>
      <c r="I29" s="20" t="str">
        <v>TRUE + FALSE = 1</v>
      </c>
      <c r="Y29" s="20"/>
      <c r="Z29" s="20" t="s">
        <v>232</v>
      </c>
      <c r="AA29" s="90">
        <f>DAVERAGE(C22:E33,1,Y28:Z30)</f>
        <v>30</v>
      </c>
      <c r="AC29" t="str">
        <f ca="1">IF(_xlfn.ISFORMULA(AA29),"Formula in "&amp;ADDRESS(ROW(AA29),COLUMN(AA29),4)&amp;": "&amp;_xlfn.FORMULATEXT(AA29),"")</f>
        <v>Formula in AA29: =DAVERAGE(C22:E33,1,Y28:Z30)</v>
      </c>
    </row>
    <row r="30" spans="3:29" x14ac:dyDescent="0.3">
      <c r="C30" s="20">
        <v>50</v>
      </c>
      <c r="D30" s="20" t="s">
        <v>240</v>
      </c>
      <c r="E30" s="20" t="s">
        <v>241</v>
      </c>
      <c r="G30" s="20" t="b">
        <v>0</v>
      </c>
      <c r="H30" s="20" t="b">
        <v>0</v>
      </c>
      <c r="I30" s="20" t="str">
        <v>FALSE + FALSE = 0</v>
      </c>
      <c r="Y30" s="20" t="s">
        <v>152</v>
      </c>
      <c r="Z30" s="20"/>
    </row>
    <row r="31" spans="3:29" x14ac:dyDescent="0.3">
      <c r="C31" s="20">
        <v>30</v>
      </c>
      <c r="D31" s="20" t="s">
        <v>240</v>
      </c>
      <c r="E31" s="20" t="s">
        <v>243</v>
      </c>
      <c r="G31" s="20" t="b">
        <v>0</v>
      </c>
      <c r="H31" s="20" t="b">
        <v>0</v>
      </c>
      <c r="I31" s="20" t="str">
        <v>FALSE + FALSE = 0</v>
      </c>
    </row>
    <row r="32" spans="3:29" x14ac:dyDescent="0.3">
      <c r="C32" s="20">
        <v>30</v>
      </c>
      <c r="D32" s="20" t="s">
        <v>153</v>
      </c>
      <c r="E32" s="20" t="s">
        <v>242</v>
      </c>
      <c r="G32" s="20" t="b">
        <v>0</v>
      </c>
      <c r="H32" s="20" t="b">
        <v>0</v>
      </c>
      <c r="I32" s="20" t="str">
        <v>FALSE + FALSE = 0</v>
      </c>
    </row>
    <row r="33" spans="3:9" x14ac:dyDescent="0.3">
      <c r="C33" s="20">
        <v>20</v>
      </c>
      <c r="D33" s="20" t="s">
        <v>155</v>
      </c>
      <c r="E33" s="20" t="s">
        <v>242</v>
      </c>
      <c r="G33" s="20" t="b">
        <v>0</v>
      </c>
      <c r="H33" s="20" t="b">
        <v>0</v>
      </c>
      <c r="I33" s="20" t="str">
        <v>FALSE + FALSE = 0</v>
      </c>
    </row>
  </sheetData>
  <mergeCells count="1">
    <mergeCell ref="D9:D10"/>
  </mergeCells>
  <conditionalFormatting sqref="C10 E10 Y24:Z26">
    <cfRule type="expression" dxfId="2" priority="2">
      <formula>MATCH(#REF!,#REF!,0)</formula>
    </cfRule>
  </conditionalFormatting>
  <conditionalFormatting sqref="C23:E33">
    <cfRule type="expression" dxfId="1" priority="4">
      <formula>OR($D23=$Y$24,$E23=$Z$24)</formula>
    </cfRule>
  </conditionalFormatting>
  <conditionalFormatting sqref="Y29:Z29 Y30">
    <cfRule type="expression" dxfId="0" priority="1">
      <formula>MATCH(#REF!,#REF!,0)</formula>
    </cfRule>
  </conditionalFormatting>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F249B-DA29-47F0-900B-5BF592917EC1}">
  <sheetPr codeName="Sheet19">
    <tabColor rgb="FFFFFF00"/>
  </sheetPr>
  <dimension ref="D8:J9"/>
  <sheetViews>
    <sheetView showGridLines="0" zoomScale="115" zoomScaleNormal="115" workbookViewId="0">
      <selection activeCell="G10" sqref="G10"/>
    </sheetView>
  </sheetViews>
  <sheetFormatPr defaultColWidth="8.88671875" defaultRowHeight="14.4" x14ac:dyDescent="0.3"/>
  <cols>
    <col min="10" max="10" width="28.77734375" customWidth="1"/>
  </cols>
  <sheetData>
    <row r="8" spans="4:10" ht="15" thickBot="1" x14ac:dyDescent="0.35"/>
    <row r="9" spans="4:10" ht="20.399999999999999" thickBot="1" x14ac:dyDescent="0.45">
      <c r="D9" s="91" t="s">
        <v>244</v>
      </c>
      <c r="E9" s="92"/>
      <c r="F9" s="92"/>
      <c r="G9" s="92"/>
      <c r="H9" s="92"/>
      <c r="I9" s="92"/>
      <c r="J9" s="93"/>
    </row>
  </sheetData>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B01F2-F15A-4242-BEBB-C7DDD2B70575}">
  <sheetPr codeName="Sheet20">
    <tabColor rgb="FF0000FF"/>
  </sheetPr>
  <dimension ref="A2:T20"/>
  <sheetViews>
    <sheetView zoomScale="115" zoomScaleNormal="115" workbookViewId="0">
      <selection activeCell="G10" sqref="G10"/>
    </sheetView>
  </sheetViews>
  <sheetFormatPr defaultColWidth="8.88671875" defaultRowHeight="14.4" x14ac:dyDescent="0.3"/>
  <cols>
    <col min="2" max="4" width="10.6640625" customWidth="1"/>
    <col min="5" max="5" width="11.44140625" customWidth="1"/>
    <col min="8" max="8" width="8.77734375" customWidth="1"/>
    <col min="9" max="9" width="7.44140625" customWidth="1"/>
    <col min="10" max="10" width="7.88671875" customWidth="1"/>
    <col min="11" max="11" width="9.21875" customWidth="1"/>
    <col min="12" max="12" width="10.88671875" customWidth="1"/>
    <col min="13" max="13" width="1.44140625" customWidth="1"/>
    <col min="14" max="14" width="7.88671875" customWidth="1"/>
    <col min="15" max="15" width="5.77734375" customWidth="1"/>
    <col min="16" max="16" width="8.77734375" customWidth="1"/>
    <col min="20" max="20" width="16.5546875" customWidth="1"/>
  </cols>
  <sheetData>
    <row r="2" spans="1:20" x14ac:dyDescent="0.3">
      <c r="A2" s="7" t="s">
        <v>325</v>
      </c>
      <c r="B2" s="7" t="s">
        <v>245</v>
      </c>
      <c r="D2" s="7"/>
      <c r="E2" s="7"/>
    </row>
    <row r="3" spans="1:20" x14ac:dyDescent="0.3">
      <c r="B3" t="s">
        <v>246</v>
      </c>
      <c r="K3" s="87" t="s">
        <v>247</v>
      </c>
      <c r="L3" s="84"/>
      <c r="N3" s="87" t="s">
        <v>248</v>
      </c>
      <c r="O3" s="83"/>
      <c r="P3" s="84"/>
    </row>
    <row r="4" spans="1:20" x14ac:dyDescent="0.3">
      <c r="K4" s="94" t="s">
        <v>249</v>
      </c>
      <c r="L4" s="95"/>
      <c r="N4" s="94" t="s">
        <v>250</v>
      </c>
      <c r="O4" s="96"/>
      <c r="P4" s="95"/>
    </row>
    <row r="5" spans="1:20" x14ac:dyDescent="0.3">
      <c r="B5" s="97" t="s">
        <v>251</v>
      </c>
      <c r="C5" s="98"/>
      <c r="D5" s="98"/>
      <c r="E5" s="7" t="s">
        <v>252</v>
      </c>
      <c r="F5" s="99" t="s">
        <v>253</v>
      </c>
      <c r="G5" s="100"/>
      <c r="K5" s="101" t="s">
        <v>254</v>
      </c>
      <c r="L5" s="86"/>
      <c r="N5" s="101" t="s">
        <v>255</v>
      </c>
      <c r="O5" s="85"/>
      <c r="P5" s="86"/>
    </row>
    <row r="7" spans="1:20" ht="28.8" x14ac:dyDescent="0.3">
      <c r="B7" s="64" t="s">
        <v>146</v>
      </c>
      <c r="C7" s="64" t="s">
        <v>150</v>
      </c>
      <c r="D7" s="64" t="s">
        <v>147</v>
      </c>
      <c r="E7" s="65" t="s">
        <v>256</v>
      </c>
      <c r="F7" s="65" t="s">
        <v>256</v>
      </c>
      <c r="G7" s="65" t="s">
        <v>256</v>
      </c>
      <c r="H7" s="7"/>
      <c r="I7" s="7" t="s">
        <v>240</v>
      </c>
      <c r="K7" s="64" t="s">
        <v>200</v>
      </c>
      <c r="L7" s="65" t="s">
        <v>257</v>
      </c>
      <c r="N7" s="64" t="s">
        <v>146</v>
      </c>
      <c r="O7" s="64" t="s">
        <v>200</v>
      </c>
      <c r="P7" s="65" t="s">
        <v>256</v>
      </c>
      <c r="T7" s="65" t="s">
        <v>259</v>
      </c>
    </row>
    <row r="8" spans="1:20" x14ac:dyDescent="0.3">
      <c r="B8" s="20" t="s">
        <v>240</v>
      </c>
      <c r="C8" s="20">
        <v>26.95</v>
      </c>
      <c r="D8" s="20">
        <v>24</v>
      </c>
      <c r="E8" s="21">
        <f>LOOKUP(D8,_xlfn.IFS(B8=$I$7,$K$8:$L$10,B8=$I$12,$K$13:$L$15,TRUE,$K$18:$L$20))</f>
        <v>0.25</v>
      </c>
      <c r="F8" s="21">
        <f>LOOKUP(D8,_xlfn.SWITCH(B8,$I$7,$K$8:$L$10,$I$12,$K$13:$L$15,$K$18:$L$20))</f>
        <v>0.25</v>
      </c>
      <c r="G8" s="21" cm="1">
        <f t="array" ref="G8">LOOKUP(D8,_xlfn._xlws.FILTER($O$8:$P$13,$N$8:$N$13=B8,$O$14:$P$16))</f>
        <v>0.25</v>
      </c>
      <c r="K8" s="20">
        <v>0</v>
      </c>
      <c r="L8" s="102">
        <v>0</v>
      </c>
      <c r="N8" s="103" t="s">
        <v>240</v>
      </c>
      <c r="O8" s="20">
        <v>0</v>
      </c>
      <c r="P8" s="102">
        <v>0</v>
      </c>
      <c r="T8" s="21" cm="1">
        <f t="array" ref="T8:T19">_xlfn.MAP(D8:D19,B8:B19,_xlfn.LAMBDA(_xlpm.us,_xlpm.p,LOOKUP(_xlpm.us,_xlfn.SWITCH(_xlpm.p,$I$7,$K$8:$L$10,$I$12,$K$13:$L$15,$K$18:$L$20))))</f>
        <v>0.25</v>
      </c>
    </row>
    <row r="9" spans="1:20" x14ac:dyDescent="0.3">
      <c r="B9" s="20" t="s">
        <v>155</v>
      </c>
      <c r="C9" s="20">
        <v>28.95</v>
      </c>
      <c r="D9" s="20">
        <v>60</v>
      </c>
      <c r="E9" s="21">
        <f t="shared" ref="E9:E19" si="0">LOOKUP(D9,_xlfn.IFS(B9=$I$7,$K$8:$L$10,B9=$I$12,$K$13:$L$15,TRUE,$K$18:$L$20))</f>
        <v>0.5</v>
      </c>
      <c r="F9" s="21">
        <f t="shared" ref="F9:F19" si="1">LOOKUP(D9,_xlfn.SWITCH(B9,$I$7,$K$8:$L$10,$I$12,$K$13:$L$15,$K$18:$L$20))</f>
        <v>0.5</v>
      </c>
      <c r="G9" s="21" cm="1">
        <f t="array" ref="G9">LOOKUP(D9,_xlfn._xlws.FILTER($O$8:$P$13,$N$8:$N$13=B9,$O$14:$P$16))</f>
        <v>0.5</v>
      </c>
      <c r="K9" s="20">
        <v>15</v>
      </c>
      <c r="L9" s="102">
        <v>0.25</v>
      </c>
      <c r="N9" s="103" t="s">
        <v>240</v>
      </c>
      <c r="O9" s="20">
        <v>15</v>
      </c>
      <c r="P9" s="102">
        <v>0.25</v>
      </c>
      <c r="T9" s="21">
        <v>0.5</v>
      </c>
    </row>
    <row r="10" spans="1:20" x14ac:dyDescent="0.3">
      <c r="B10" s="20" t="s">
        <v>240</v>
      </c>
      <c r="C10" s="20">
        <v>26.95</v>
      </c>
      <c r="D10" s="20">
        <v>50</v>
      </c>
      <c r="E10" s="21">
        <f t="shared" si="0"/>
        <v>0.4</v>
      </c>
      <c r="F10" s="21">
        <f t="shared" si="1"/>
        <v>0.4</v>
      </c>
      <c r="G10" s="21" cm="1">
        <f t="array" ref="G10">LOOKUP(D10,_xlfn._xlws.FILTER($O$8:$P$13,$N$8:$N$13=B10,$O$14:$P$16))</f>
        <v>0.4</v>
      </c>
      <c r="K10" s="20">
        <v>45</v>
      </c>
      <c r="L10" s="102">
        <v>0.4</v>
      </c>
      <c r="N10" s="103" t="s">
        <v>240</v>
      </c>
      <c r="O10" s="20">
        <v>45</v>
      </c>
      <c r="P10" s="102">
        <v>0.4</v>
      </c>
      <c r="T10" s="21">
        <v>0.4</v>
      </c>
    </row>
    <row r="11" spans="1:20" x14ac:dyDescent="0.3">
      <c r="B11" s="20" t="s">
        <v>152</v>
      </c>
      <c r="C11" s="20">
        <v>43.95</v>
      </c>
      <c r="D11" s="20">
        <v>5</v>
      </c>
      <c r="E11" s="21">
        <f t="shared" si="0"/>
        <v>0</v>
      </c>
      <c r="F11" s="21">
        <f t="shared" si="1"/>
        <v>0</v>
      </c>
      <c r="G11" s="21" cm="1">
        <f t="array" ref="G11">LOOKUP(D11,_xlfn._xlws.FILTER($O$8:$P$13,$N$8:$N$13=B11,$O$14:$P$16))</f>
        <v>0</v>
      </c>
      <c r="N11" s="103" t="s">
        <v>152</v>
      </c>
      <c r="O11" s="20">
        <v>0</v>
      </c>
      <c r="P11" s="102">
        <v>0</v>
      </c>
      <c r="T11" s="21">
        <v>0</v>
      </c>
    </row>
    <row r="12" spans="1:20" x14ac:dyDescent="0.3">
      <c r="B12" s="20" t="s">
        <v>152</v>
      </c>
      <c r="C12" s="20">
        <v>43.95</v>
      </c>
      <c r="D12" s="20">
        <v>25</v>
      </c>
      <c r="E12" s="21">
        <f t="shared" si="0"/>
        <v>0.2</v>
      </c>
      <c r="F12" s="21">
        <f t="shared" si="1"/>
        <v>0.2</v>
      </c>
      <c r="G12" s="21" cm="1">
        <f t="array" ref="G12">LOOKUP(D12,_xlfn._xlws.FILTER($O$8:$P$13,$N$8:$N$13=B12,$O$14:$P$16))</f>
        <v>0.2</v>
      </c>
      <c r="I12" s="7" t="s">
        <v>152</v>
      </c>
      <c r="K12" s="64" t="s">
        <v>200</v>
      </c>
      <c r="L12" s="65" t="s">
        <v>257</v>
      </c>
      <c r="N12" s="103" t="s">
        <v>152</v>
      </c>
      <c r="O12" s="20">
        <v>20</v>
      </c>
      <c r="P12" s="102">
        <v>0.2</v>
      </c>
      <c r="T12" s="21">
        <v>0.2</v>
      </c>
    </row>
    <row r="13" spans="1:20" x14ac:dyDescent="0.3">
      <c r="B13" s="20" t="s">
        <v>240</v>
      </c>
      <c r="C13" s="20">
        <v>26.95</v>
      </c>
      <c r="D13" s="20">
        <v>96</v>
      </c>
      <c r="E13" s="21">
        <f t="shared" si="0"/>
        <v>0.4</v>
      </c>
      <c r="F13" s="21">
        <f t="shared" si="1"/>
        <v>0.4</v>
      </c>
      <c r="G13" s="21" cm="1">
        <f t="array" ref="G13">LOOKUP(D13,_xlfn._xlws.FILTER($O$8:$P$13,$N$8:$N$13=B13,$O$14:$P$16))</f>
        <v>0.4</v>
      </c>
      <c r="K13" s="20">
        <v>0</v>
      </c>
      <c r="L13" s="102">
        <v>0</v>
      </c>
      <c r="N13" s="103" t="s">
        <v>152</v>
      </c>
      <c r="O13" s="20">
        <v>60</v>
      </c>
      <c r="P13" s="102">
        <v>0.45</v>
      </c>
      <c r="T13" s="21">
        <v>0.4</v>
      </c>
    </row>
    <row r="14" spans="1:20" x14ac:dyDescent="0.3">
      <c r="B14" s="20" t="s">
        <v>151</v>
      </c>
      <c r="C14" s="20">
        <v>30.95</v>
      </c>
      <c r="D14" s="20">
        <v>8</v>
      </c>
      <c r="E14" s="21">
        <f t="shared" si="0"/>
        <v>0</v>
      </c>
      <c r="F14" s="21">
        <f t="shared" si="1"/>
        <v>0</v>
      </c>
      <c r="G14" s="21" cm="1">
        <f t="array" ref="G14">LOOKUP(D14,_xlfn._xlws.FILTER($O$8:$P$13,$N$8:$N$13=B14,$O$14:$P$16))</f>
        <v>0</v>
      </c>
      <c r="K14" s="20">
        <v>20</v>
      </c>
      <c r="L14" s="102">
        <v>0.2</v>
      </c>
      <c r="N14" s="103" t="s">
        <v>258</v>
      </c>
      <c r="O14" s="20">
        <v>0</v>
      </c>
      <c r="P14" s="102">
        <v>0</v>
      </c>
      <c r="T14" s="21">
        <v>0</v>
      </c>
    </row>
    <row r="15" spans="1:20" x14ac:dyDescent="0.3">
      <c r="B15" s="20" t="s">
        <v>152</v>
      </c>
      <c r="C15" s="20">
        <v>43.95</v>
      </c>
      <c r="D15" s="20">
        <v>124</v>
      </c>
      <c r="E15" s="21">
        <f t="shared" si="0"/>
        <v>0.45</v>
      </c>
      <c r="F15" s="21">
        <f t="shared" si="1"/>
        <v>0.45</v>
      </c>
      <c r="G15" s="21" cm="1">
        <f t="array" ref="G15">LOOKUP(D15,_xlfn._xlws.FILTER($O$8:$P$13,$N$8:$N$13=B15,$O$14:$P$16))</f>
        <v>0.45</v>
      </c>
      <c r="K15" s="20">
        <v>60</v>
      </c>
      <c r="L15" s="102">
        <v>0.45</v>
      </c>
      <c r="N15" s="103" t="s">
        <v>258</v>
      </c>
      <c r="O15" s="20">
        <v>15</v>
      </c>
      <c r="P15" s="102">
        <v>0.3</v>
      </c>
      <c r="T15" s="21">
        <v>0.45</v>
      </c>
    </row>
    <row r="16" spans="1:20" x14ac:dyDescent="0.3">
      <c r="B16" s="20" t="s">
        <v>240</v>
      </c>
      <c r="C16" s="20">
        <v>26.95</v>
      </c>
      <c r="D16" s="20">
        <v>55</v>
      </c>
      <c r="E16" s="21">
        <f t="shared" si="0"/>
        <v>0.4</v>
      </c>
      <c r="F16" s="21">
        <f t="shared" si="1"/>
        <v>0.4</v>
      </c>
      <c r="G16" s="21" cm="1">
        <f t="array" ref="G16">LOOKUP(D16,_xlfn._xlws.FILTER($O$8:$P$13,$N$8:$N$13=B16,$O$14:$P$16))</f>
        <v>0.4</v>
      </c>
      <c r="N16" s="103" t="s">
        <v>258</v>
      </c>
      <c r="O16" s="20">
        <v>25</v>
      </c>
      <c r="P16" s="102">
        <v>0.5</v>
      </c>
      <c r="T16" s="21">
        <v>0.4</v>
      </c>
    </row>
    <row r="17" spans="2:20" x14ac:dyDescent="0.3">
      <c r="B17" s="20" t="s">
        <v>240</v>
      </c>
      <c r="C17" s="20">
        <v>26.95</v>
      </c>
      <c r="D17" s="20">
        <v>2</v>
      </c>
      <c r="E17" s="21">
        <f t="shared" si="0"/>
        <v>0</v>
      </c>
      <c r="F17" s="21">
        <f t="shared" si="1"/>
        <v>0</v>
      </c>
      <c r="G17" s="21" cm="1">
        <f t="array" ref="G17">LOOKUP(D17,_xlfn._xlws.FILTER($O$8:$P$13,$N$8:$N$13=B17,$O$14:$P$16))</f>
        <v>0</v>
      </c>
      <c r="I17" s="7" t="s">
        <v>258</v>
      </c>
      <c r="K17" s="64" t="s">
        <v>200</v>
      </c>
      <c r="L17" s="65" t="s">
        <v>257</v>
      </c>
      <c r="T17" s="21">
        <v>0</v>
      </c>
    </row>
    <row r="18" spans="2:20" x14ac:dyDescent="0.3">
      <c r="B18" s="20" t="s">
        <v>152</v>
      </c>
      <c r="C18" s="20">
        <v>43.95</v>
      </c>
      <c r="D18" s="20">
        <v>5</v>
      </c>
      <c r="E18" s="21">
        <f t="shared" si="0"/>
        <v>0</v>
      </c>
      <c r="F18" s="21">
        <f t="shared" si="1"/>
        <v>0</v>
      </c>
      <c r="G18" s="21" cm="1">
        <f t="array" ref="G18">LOOKUP(D18,_xlfn._xlws.FILTER($O$8:$P$13,$N$8:$N$13=B18,$O$14:$P$16))</f>
        <v>0</v>
      </c>
      <c r="K18" s="20">
        <v>0</v>
      </c>
      <c r="L18" s="102">
        <v>0</v>
      </c>
      <c r="T18" s="21">
        <v>0</v>
      </c>
    </row>
    <row r="19" spans="2:20" x14ac:dyDescent="0.3">
      <c r="B19" s="20" t="s">
        <v>151</v>
      </c>
      <c r="C19" s="20">
        <v>30.95</v>
      </c>
      <c r="D19" s="20">
        <v>19</v>
      </c>
      <c r="E19" s="21">
        <f t="shared" si="0"/>
        <v>0.3</v>
      </c>
      <c r="F19" s="21">
        <f t="shared" si="1"/>
        <v>0.3</v>
      </c>
      <c r="G19" s="21" cm="1">
        <f t="array" ref="G19">LOOKUP(D19,_xlfn._xlws.FILTER($O$8:$P$13,$N$8:$N$13=B19,$O$14:$P$16))</f>
        <v>0.3</v>
      </c>
      <c r="K19" s="20">
        <v>15</v>
      </c>
      <c r="L19" s="102">
        <v>0.3</v>
      </c>
      <c r="T19" s="21">
        <v>0.3</v>
      </c>
    </row>
    <row r="20" spans="2:20" x14ac:dyDescent="0.3">
      <c r="K20" s="20">
        <v>25</v>
      </c>
      <c r="L20" s="102">
        <v>0.5</v>
      </c>
    </row>
  </sheetData>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37316-74D3-4F26-86B7-D6D65CA3803C}">
  <sheetPr>
    <tabColor rgb="FFFF0000"/>
  </sheetPr>
  <dimension ref="A2:V22"/>
  <sheetViews>
    <sheetView zoomScale="115" zoomScaleNormal="115" workbookViewId="0"/>
  </sheetViews>
  <sheetFormatPr defaultColWidth="9.109375" defaultRowHeight="14.4" x14ac:dyDescent="0.3"/>
  <cols>
    <col min="1" max="1" width="5" bestFit="1" customWidth="1"/>
    <col min="2" max="2" width="11.44140625" customWidth="1"/>
    <col min="3" max="6" width="6.88671875" bestFit="1" customWidth="1"/>
    <col min="7" max="7" width="8.33203125" customWidth="1"/>
    <col min="8" max="10" width="10" bestFit="1" customWidth="1"/>
  </cols>
  <sheetData>
    <row r="2" spans="1:22" x14ac:dyDescent="0.3">
      <c r="A2" s="7" t="s">
        <v>368</v>
      </c>
      <c r="B2" t="s">
        <v>201</v>
      </c>
    </row>
    <row r="3" spans="1:22" ht="4.5" customHeight="1" x14ac:dyDescent="0.3"/>
    <row r="4" spans="1:22" x14ac:dyDescent="0.3">
      <c r="B4" s="7" t="str">
        <f>"Formula in cell "&amp;ADDRESS(ROW(H17),COLUMN(H17),4)&amp;":"</f>
        <v>Formula in cell H17:</v>
      </c>
    </row>
    <row r="5" spans="1:22" x14ac:dyDescent="0.3">
      <c r="B5" t="str">
        <f ca="1">_xlfn.IFNA(_xlfn.FORMULATEXT(H17),"")</f>
        <v>=SUM(LARGE(C17:G17,{1,2,3}))</v>
      </c>
    </row>
    <row r="6" spans="1:22" ht="4.5" customHeight="1" x14ac:dyDescent="0.3"/>
    <row r="7" spans="1:22" x14ac:dyDescent="0.3">
      <c r="B7" s="7" t="str">
        <f>"Formula in cell "&amp;ADDRESS(ROW(I17),COLUMN(I17),4)&amp;":"</f>
        <v>Formula in cell I17:</v>
      </c>
    </row>
    <row r="8" spans="1:22" x14ac:dyDescent="0.3">
      <c r="B8" t="str">
        <f ca="1">_xlfn.IFNA(_xlfn.FORMULATEXT(I17),"")</f>
        <v>=IFERROR(SUM(LARGE(C17:G17,{1,2,3})),"")</v>
      </c>
    </row>
    <row r="9" spans="1:22" ht="4.5" customHeight="1" x14ac:dyDescent="0.3"/>
    <row r="10" spans="1:22" x14ac:dyDescent="0.3">
      <c r="B10" s="7" t="str">
        <f>"Formula in cell "&amp;ADDRESS(ROW(J17),COLUMN(J17),4)&amp;":"</f>
        <v>Formula in cell J17:</v>
      </c>
    </row>
    <row r="11" spans="1:22" x14ac:dyDescent="0.3">
      <c r="B11" t="str">
        <f ca="1">_xlfn.IFNA(_xlfn.FORMULATEXT(J17),"")</f>
        <v>=IF(COUNT(C17:G17)&gt;2,SUM(LARGE(C17:G17,{1,2,3})),"")</v>
      </c>
    </row>
    <row r="12" spans="1:22" x14ac:dyDescent="0.3">
      <c r="B12" s="125" t="s">
        <v>202</v>
      </c>
    </row>
    <row r="13" spans="1:22" x14ac:dyDescent="0.3">
      <c r="B13" s="125" t="s">
        <v>203</v>
      </c>
    </row>
    <row r="14" spans="1:22" x14ac:dyDescent="0.3">
      <c r="B14" s="125" t="s">
        <v>327</v>
      </c>
    </row>
    <row r="15" spans="1:22" x14ac:dyDescent="0.3">
      <c r="V15" s="7" t="s">
        <v>211</v>
      </c>
    </row>
    <row r="16" spans="1:22" x14ac:dyDescent="0.3">
      <c r="B16" s="64" t="s">
        <v>204</v>
      </c>
      <c r="C16" s="77" t="s">
        <v>205</v>
      </c>
      <c r="D16" s="77" t="s">
        <v>206</v>
      </c>
      <c r="E16" s="77" t="s">
        <v>207</v>
      </c>
      <c r="F16" s="77" t="s">
        <v>208</v>
      </c>
      <c r="G16" s="64" t="s">
        <v>209</v>
      </c>
      <c r="H16" s="64" t="s">
        <v>210</v>
      </c>
      <c r="I16" s="64" t="s">
        <v>210</v>
      </c>
      <c r="J16" s="64" t="s">
        <v>210</v>
      </c>
      <c r="O16" s="7" t="s">
        <v>211</v>
      </c>
      <c r="V16" s="21" cm="1">
        <f t="array" ref="V16:V21">_xlfn.BYROW(C17:G22,_xlfn.LAMBDA(_xlpm.r,IF(COUNT(_xlpm.r)&gt;2,SUM(LARGE(_xlpm.r,{1,2,3})),"")))</f>
        <v>264.36</v>
      </c>
    </row>
    <row r="17" spans="2:22" x14ac:dyDescent="0.3">
      <c r="B17" s="78" t="s">
        <v>212</v>
      </c>
      <c r="C17" s="79">
        <v>0</v>
      </c>
      <c r="D17" s="80">
        <v>86.87</v>
      </c>
      <c r="E17" s="81">
        <v>92.4</v>
      </c>
      <c r="F17" s="79">
        <v>80.89</v>
      </c>
      <c r="G17" s="80">
        <v>85.09</v>
      </c>
      <c r="H17" s="21" cm="1">
        <f t="array" ref="H17">SUM(LARGE(C17:G17,{1,2,3}))</f>
        <v>264.36</v>
      </c>
      <c r="I17" s="21" cm="1">
        <f t="array" ref="I17">IFERROR(SUM(LARGE(C17:G17,{1,2,3})),"")</f>
        <v>264.36</v>
      </c>
      <c r="J17" s="21" cm="1">
        <f t="array" ref="J17">IF(COUNT(C17:G17)&gt;2,SUM(LARGE(C17:G17,{1,2,3})),"")</f>
        <v>264.36</v>
      </c>
      <c r="O17" s="21" cm="1">
        <f t="array" ref="O17:O22">_xlfn.BYROW(C17:G22,_xlfn.LAMBDA(_xlpm.r,IF(COUNT(_xlpm.r)&gt;2,SUM(LARGE(_xlpm.r,{1,2,3})),"")))</f>
        <v>264.36</v>
      </c>
      <c r="V17" s="21">
        <v>275.31</v>
      </c>
    </row>
    <row r="18" spans="2:22" x14ac:dyDescent="0.3">
      <c r="B18" s="78" t="s">
        <v>213</v>
      </c>
      <c r="C18" s="79">
        <v>72.09</v>
      </c>
      <c r="D18" s="80">
        <v>108.27</v>
      </c>
      <c r="E18" s="81">
        <v>73.7</v>
      </c>
      <c r="F18" s="79">
        <v>93.34</v>
      </c>
      <c r="G18" s="80">
        <v>0</v>
      </c>
      <c r="H18" s="21" cm="1">
        <f t="array" ref="H18">SUM(LARGE(C18:G18,{1,2,3}))</f>
        <v>275.31</v>
      </c>
      <c r="I18" s="21" cm="1">
        <f t="array" ref="I18">IFERROR(SUM(LARGE(C18:G18,{1,2,3})),"")</f>
        <v>275.31</v>
      </c>
      <c r="J18" s="21" cm="1">
        <f t="array" ref="J18">IF(COUNT(C18:G18)&gt;2,SUM(LARGE(C18:G18,{1,2,3})),"")</f>
        <v>275.31</v>
      </c>
      <c r="O18" s="21">
        <v>275.31</v>
      </c>
      <c r="V18" s="21">
        <v>231.03999999999996</v>
      </c>
    </row>
    <row r="19" spans="2:22" x14ac:dyDescent="0.3">
      <c r="B19" s="78" t="s">
        <v>214</v>
      </c>
      <c r="C19" s="79">
        <v>55.26</v>
      </c>
      <c r="D19" s="80">
        <v>85.96</v>
      </c>
      <c r="E19" s="81">
        <v>89.82</v>
      </c>
      <c r="F19" s="79">
        <v>34.85</v>
      </c>
      <c r="G19" s="80">
        <v>31.66</v>
      </c>
      <c r="H19" s="21" cm="1">
        <f t="array" ref="H19">SUM(LARGE(C19:G19,{1,2,3}))</f>
        <v>231.03999999999996</v>
      </c>
      <c r="I19" s="21" cm="1">
        <f t="array" ref="I19">IFERROR(SUM(LARGE(C19:G19,{1,2,3})),"")</f>
        <v>231.03999999999996</v>
      </c>
      <c r="J19" s="21" cm="1">
        <f t="array" ref="J19">IF(COUNT(C19:G19)&gt;2,SUM(LARGE(C19:G19,{1,2,3})),"")</f>
        <v>231.03999999999996</v>
      </c>
      <c r="O19" s="21">
        <v>231.03999999999996</v>
      </c>
      <c r="V19" s="21" t="str">
        <v/>
      </c>
    </row>
    <row r="20" spans="2:22" x14ac:dyDescent="0.3">
      <c r="B20" s="78"/>
      <c r="C20" s="79"/>
      <c r="D20" s="80"/>
      <c r="E20" s="81"/>
      <c r="F20" s="79"/>
      <c r="G20" s="80"/>
      <c r="H20" s="21" t="e" cm="1">
        <f t="array" ref="H20">SUM(LARGE(C20:G20,{1,2,3}))</f>
        <v>#NUM!</v>
      </c>
      <c r="I20" s="21" t="str" cm="1">
        <f t="array" ref="I20">IFERROR(SUM(LARGE(C20:G20,{1,2,3})),"")</f>
        <v/>
      </c>
      <c r="J20" s="21" t="str" cm="1">
        <f t="array" ref="J20">IF(COUNT(C20:G20)&gt;2,SUM(LARGE(C20:G20,{1,2,3})),"")</f>
        <v/>
      </c>
      <c r="O20" s="21" t="str">
        <v/>
      </c>
      <c r="V20" s="21" t="str">
        <v/>
      </c>
    </row>
    <row r="21" spans="2:22" x14ac:dyDescent="0.3">
      <c r="B21" s="78"/>
      <c r="C21" s="79"/>
      <c r="D21" s="80"/>
      <c r="E21" s="81"/>
      <c r="F21" s="79"/>
      <c r="G21" s="80"/>
      <c r="H21" s="21" t="e" cm="1">
        <f t="array" ref="H21">SUM(LARGE(C21:G21,{1,2,3}))</f>
        <v>#NUM!</v>
      </c>
      <c r="I21" s="21" t="str" cm="1">
        <f t="array" ref="I21">IFERROR(SUM(LARGE(C21:G21,{1,2,3})),"")</f>
        <v/>
      </c>
      <c r="J21" s="21" t="str" cm="1">
        <f t="array" ref="J21">IF(COUNT(C21:G21)&gt;2,SUM(LARGE(C21:G21,{1,2,3})),"")</f>
        <v/>
      </c>
      <c r="O21" s="21" t="str">
        <v/>
      </c>
      <c r="V21" s="21" t="str">
        <v/>
      </c>
    </row>
    <row r="22" spans="2:22" x14ac:dyDescent="0.3">
      <c r="B22" s="78"/>
      <c r="C22" s="79"/>
      <c r="D22" s="80"/>
      <c r="E22" s="81"/>
      <c r="F22" s="79"/>
      <c r="G22" s="80"/>
      <c r="H22" s="21" t="e" cm="1">
        <f t="array" ref="H22">SUM(LARGE(C22:G22,{1,2,3}))</f>
        <v>#NUM!</v>
      </c>
      <c r="I22" s="21" t="str" cm="1">
        <f t="array" ref="I22">IFERROR(SUM(LARGE(C22:G22,{1,2,3})),"")</f>
        <v/>
      </c>
      <c r="J22" s="21" t="str" cm="1">
        <f t="array" ref="J22">IF(COUNT(C22:G22)&gt;2,SUM(LARGE(C22:G22,{1,2,3})),"")</f>
        <v/>
      </c>
      <c r="O22" s="21" t="str">
        <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5E6DA-91C0-4F3B-A359-64A87F377921}">
  <sheetPr codeName="Sheet2">
    <tabColor rgb="FFFFFF00"/>
  </sheetPr>
  <dimension ref="B2:D30"/>
  <sheetViews>
    <sheetView showGridLines="0" zoomScaleNormal="100" workbookViewId="0"/>
  </sheetViews>
  <sheetFormatPr defaultColWidth="8.88671875" defaultRowHeight="14.4" x14ac:dyDescent="0.3"/>
  <cols>
    <col min="1" max="1" width="5.33203125" customWidth="1"/>
    <col min="2" max="2" width="0.77734375" customWidth="1"/>
    <col min="3" max="3" width="62.77734375" customWidth="1"/>
  </cols>
  <sheetData>
    <row r="2" spans="2:4" ht="9.6" customHeight="1" x14ac:dyDescent="0.3">
      <c r="B2" s="6"/>
      <c r="C2" s="5"/>
      <c r="D2" s="4"/>
    </row>
    <row r="3" spans="2:4" x14ac:dyDescent="0.3">
      <c r="B3" s="2"/>
      <c r="D3" s="1"/>
    </row>
    <row r="4" spans="2:4" x14ac:dyDescent="0.3">
      <c r="B4" s="2"/>
      <c r="D4" s="1"/>
    </row>
    <row r="5" spans="2:4" ht="15" thickBot="1" x14ac:dyDescent="0.35">
      <c r="B5" s="2"/>
      <c r="D5" s="1"/>
    </row>
    <row r="6" spans="2:4" ht="21.6" thickBot="1" x14ac:dyDescent="0.35">
      <c r="B6" s="2"/>
      <c r="C6" s="3" t="s">
        <v>1</v>
      </c>
      <c r="D6" s="1"/>
    </row>
    <row r="7" spans="2:4" x14ac:dyDescent="0.3">
      <c r="B7" s="2"/>
      <c r="D7" s="1"/>
    </row>
    <row r="8" spans="2:4" x14ac:dyDescent="0.3">
      <c r="B8" s="2"/>
      <c r="D8" s="1"/>
    </row>
    <row r="9" spans="2:4" x14ac:dyDescent="0.3">
      <c r="B9" s="2"/>
      <c r="D9" s="1"/>
    </row>
    <row r="10" spans="2:4" x14ac:dyDescent="0.3">
      <c r="B10" s="2"/>
      <c r="D10" s="1"/>
    </row>
    <row r="11" spans="2:4" x14ac:dyDescent="0.3">
      <c r="B11" s="2"/>
      <c r="D11" s="1"/>
    </row>
    <row r="12" spans="2:4" x14ac:dyDescent="0.3">
      <c r="B12" s="143" t="s">
        <v>0</v>
      </c>
      <c r="C12" s="144"/>
      <c r="D12" s="145"/>
    </row>
    <row r="13" spans="2:4" ht="21" customHeight="1" x14ac:dyDescent="0.3">
      <c r="B13" s="146"/>
      <c r="C13" s="147"/>
      <c r="D13" s="148"/>
    </row>
    <row r="14" spans="2:4" ht="10.95" customHeight="1" x14ac:dyDescent="0.3"/>
    <row r="15" spans="2:4" x14ac:dyDescent="0.3">
      <c r="C15" s="7" t="s">
        <v>2</v>
      </c>
    </row>
    <row r="16" spans="2:4" x14ac:dyDescent="0.3">
      <c r="C16" t="s">
        <v>3</v>
      </c>
    </row>
    <row r="17" spans="3:3" x14ac:dyDescent="0.3">
      <c r="C17" t="s">
        <v>4</v>
      </c>
    </row>
    <row r="18" spans="3:3" x14ac:dyDescent="0.3">
      <c r="C18" s="9" t="s">
        <v>85</v>
      </c>
    </row>
    <row r="19" spans="3:3" x14ac:dyDescent="0.3">
      <c r="C19" s="9" t="s">
        <v>9</v>
      </c>
    </row>
    <row r="20" spans="3:3" x14ac:dyDescent="0.3">
      <c r="C20" t="s">
        <v>6</v>
      </c>
    </row>
    <row r="21" spans="3:3" x14ac:dyDescent="0.3">
      <c r="C21" s="9" t="s">
        <v>10</v>
      </c>
    </row>
    <row r="22" spans="3:3" x14ac:dyDescent="0.3">
      <c r="C22" t="s">
        <v>5</v>
      </c>
    </row>
    <row r="23" spans="3:3" x14ac:dyDescent="0.3">
      <c r="C23" t="s">
        <v>7</v>
      </c>
    </row>
    <row r="24" spans="3:3" x14ac:dyDescent="0.3">
      <c r="C24" t="s">
        <v>8</v>
      </c>
    </row>
    <row r="25" spans="3:3" x14ac:dyDescent="0.3">
      <c r="C25" s="7" t="s">
        <v>76</v>
      </c>
    </row>
    <row r="26" spans="3:3" x14ac:dyDescent="0.3">
      <c r="C26" s="9" t="s">
        <v>77</v>
      </c>
    </row>
    <row r="27" spans="3:3" x14ac:dyDescent="0.3">
      <c r="C27" s="9" t="s">
        <v>78</v>
      </c>
    </row>
    <row r="28" spans="3:3" x14ac:dyDescent="0.3">
      <c r="C28" s="9" t="s">
        <v>79</v>
      </c>
    </row>
    <row r="29" spans="3:3" x14ac:dyDescent="0.3">
      <c r="C29" s="9" t="s">
        <v>80</v>
      </c>
    </row>
    <row r="30" spans="3:3" x14ac:dyDescent="0.3">
      <c r="C30" s="9" t="s">
        <v>81</v>
      </c>
    </row>
  </sheetData>
  <mergeCells count="1">
    <mergeCell ref="B12:D13"/>
  </mergeCell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4C9BC-E7E2-4D66-891F-4E1102BBA973}">
  <sheetPr codeName="Sheet21">
    <tabColor theme="1"/>
  </sheetPr>
  <dimension ref="A1"/>
  <sheetViews>
    <sheetView zoomScaleNormal="100" workbookViewId="0"/>
  </sheetViews>
  <sheetFormatPr defaultRowHeight="14.4" x14ac:dyDescent="0.3"/>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5B274-D23F-432E-8074-5E6B74CB2F5A}">
  <sheetPr codeName="Sheet22">
    <tabColor rgb="FF0000FF"/>
  </sheetPr>
  <dimension ref="B2:J25"/>
  <sheetViews>
    <sheetView zoomScale="85" zoomScaleNormal="85" workbookViewId="0"/>
  </sheetViews>
  <sheetFormatPr defaultColWidth="8.88671875" defaultRowHeight="13.2" x14ac:dyDescent="0.25"/>
  <cols>
    <col min="1" max="1" width="3.109375" style="104" customWidth="1"/>
    <col min="2" max="2" width="19.77734375" style="104" bestFit="1" customWidth="1"/>
    <col min="3" max="3" width="15.109375" style="104" customWidth="1"/>
    <col min="4" max="4" width="8.21875" style="104" bestFit="1" customWidth="1"/>
    <col min="5" max="5" width="24.44140625" style="104" customWidth="1"/>
    <col min="6" max="6" width="21.44140625" style="104" customWidth="1"/>
    <col min="7" max="7" width="20.109375" style="104" customWidth="1"/>
    <col min="8" max="8" width="2.44140625" style="104" customWidth="1"/>
    <col min="9" max="9" width="24.77734375" style="104" customWidth="1"/>
    <col min="10" max="10" width="11.88671875" style="104" customWidth="1"/>
    <col min="11" max="16384" width="8.88671875" style="104"/>
  </cols>
  <sheetData>
    <row r="2" spans="2:10" ht="111.75" customHeight="1" x14ac:dyDescent="0.25">
      <c r="D2" s="139" t="s">
        <v>437</v>
      </c>
      <c r="E2" s="141" t="str">
        <f>"1) Using a formula for this column, put the word Yes or No in each cell to state whether or not the employee got the bonus. "&amp;I4</f>
        <v>1) Using a formula for this column, put the word Yes or No in each cell to state whether or not the employee got the bonus. Contact reads: If employee has sales of $10,000 or more they get a bonus.</v>
      </c>
      <c r="F2" s="141" t="str">
        <f>"2) Using a formula for this column, put the bonus amount that each employee earned in each cell. "&amp;I4</f>
        <v>2) Using a formula for this column, put the bonus amount that each employee earned in each cell. Contact reads: If employee has sales of $10,000 or more they get a bonus.</v>
      </c>
      <c r="G2" s="141" t="str">
        <f>"3) Using a formula for this column, Put the text 'Under' in the cell if their Cell Phone Data usage is less than "&amp;J12&amp;" or the text 'Extra Charge' if the usage is 2.5 or more."</f>
        <v>3) Using a formula for this column, Put the text 'Under' in the cell if their Cell Phone Data usage is less than 2.5 or the text 'Extra Charge' if the usage is 2.5 or more.</v>
      </c>
    </row>
    <row r="4" spans="2:10" ht="28.8" x14ac:dyDescent="0.3">
      <c r="B4" s="105" t="s">
        <v>131</v>
      </c>
      <c r="C4" s="105" t="s">
        <v>260</v>
      </c>
      <c r="D4" s="105" t="s">
        <v>132</v>
      </c>
      <c r="E4" s="106" t="s">
        <v>261</v>
      </c>
      <c r="F4" s="106" t="s">
        <v>262</v>
      </c>
      <c r="G4" s="106" t="s">
        <v>263</v>
      </c>
      <c r="H4" s="107"/>
      <c r="I4" s="104" t="str">
        <f>"Contact reads: If employee has sales of "&amp;DOLLAR(J6,0)&amp;" or more they get a bonus."</f>
        <v>Contact reads: If employee has sales of $10,000 or more they get a bonus.</v>
      </c>
    </row>
    <row r="5" spans="2:10" x14ac:dyDescent="0.25">
      <c r="B5" s="58" t="s">
        <v>264</v>
      </c>
      <c r="C5" s="58">
        <v>2.1800000000000002</v>
      </c>
      <c r="D5" s="108">
        <v>9181</v>
      </c>
      <c r="E5" s="109"/>
      <c r="F5" s="110"/>
      <c r="G5" s="110"/>
      <c r="I5" s="104" t="str">
        <f>"Are Sales equal to or greater than "&amp;DOLLAR(J6,0)&amp;"?"</f>
        <v>Are Sales equal to or greater than $10,000?</v>
      </c>
    </row>
    <row r="6" spans="2:10" x14ac:dyDescent="0.25">
      <c r="B6" s="58" t="s">
        <v>265</v>
      </c>
      <c r="C6" s="58">
        <v>2.0499999999999998</v>
      </c>
      <c r="D6" s="108">
        <v>7827</v>
      </c>
      <c r="E6" s="109"/>
      <c r="F6" s="110"/>
      <c r="G6" s="110"/>
      <c r="I6" s="111" t="s">
        <v>112</v>
      </c>
      <c r="J6" s="112">
        <v>10000</v>
      </c>
    </row>
    <row r="7" spans="2:10" x14ac:dyDescent="0.25">
      <c r="B7" s="58" t="s">
        <v>266</v>
      </c>
      <c r="C7" s="58">
        <v>0.19</v>
      </c>
      <c r="D7" s="108">
        <v>6477</v>
      </c>
      <c r="E7" s="109"/>
      <c r="F7" s="110"/>
      <c r="G7" s="110"/>
      <c r="I7" s="113" t="s">
        <v>267</v>
      </c>
      <c r="J7" s="112">
        <v>750</v>
      </c>
    </row>
    <row r="8" spans="2:10" x14ac:dyDescent="0.25">
      <c r="B8" s="58" t="s">
        <v>268</v>
      </c>
      <c r="C8" s="58">
        <v>1.76</v>
      </c>
      <c r="D8" s="108">
        <v>9358</v>
      </c>
      <c r="E8" s="109"/>
      <c r="F8" s="110"/>
      <c r="G8" s="110"/>
    </row>
    <row r="9" spans="2:10" x14ac:dyDescent="0.25">
      <c r="B9" s="58" t="s">
        <v>269</v>
      </c>
      <c r="C9" s="58">
        <v>0.59</v>
      </c>
      <c r="D9" s="108">
        <v>14915</v>
      </c>
      <c r="E9" s="109"/>
      <c r="F9" s="110"/>
      <c r="G9" s="110"/>
    </row>
    <row r="10" spans="2:10" x14ac:dyDescent="0.25">
      <c r="B10" s="58" t="s">
        <v>270</v>
      </c>
      <c r="C10" s="58">
        <v>2.82</v>
      </c>
      <c r="D10" s="108">
        <v>8670</v>
      </c>
      <c r="E10" s="109"/>
      <c r="F10" s="110"/>
      <c r="G10" s="110"/>
    </row>
    <row r="11" spans="2:10" x14ac:dyDescent="0.25">
      <c r="B11" s="58" t="s">
        <v>271</v>
      </c>
      <c r="C11" s="58">
        <v>1.56</v>
      </c>
      <c r="D11" s="108">
        <v>12413</v>
      </c>
      <c r="E11" s="109"/>
      <c r="F11" s="110"/>
      <c r="G11" s="110"/>
      <c r="I11" s="104" t="s">
        <v>272</v>
      </c>
    </row>
    <row r="12" spans="2:10" x14ac:dyDescent="0.25">
      <c r="B12" s="58" t="s">
        <v>273</v>
      </c>
      <c r="C12" s="58">
        <v>2.21</v>
      </c>
      <c r="D12" s="108">
        <v>6291</v>
      </c>
      <c r="E12" s="109"/>
      <c r="F12" s="110"/>
      <c r="G12" s="110"/>
      <c r="I12" s="113" t="s">
        <v>274</v>
      </c>
      <c r="J12" s="58">
        <v>2.5</v>
      </c>
    </row>
    <row r="13" spans="2:10" x14ac:dyDescent="0.25">
      <c r="B13" s="58" t="s">
        <v>275</v>
      </c>
      <c r="C13" s="58">
        <v>1.97</v>
      </c>
      <c r="D13" s="108">
        <v>6083</v>
      </c>
      <c r="E13" s="109"/>
      <c r="F13" s="110"/>
      <c r="G13" s="110"/>
    </row>
    <row r="14" spans="2:10" x14ac:dyDescent="0.25">
      <c r="B14" s="58" t="s">
        <v>276</v>
      </c>
      <c r="C14" s="58">
        <v>2.99</v>
      </c>
      <c r="D14" s="108">
        <v>12633</v>
      </c>
      <c r="E14" s="109"/>
      <c r="F14" s="110"/>
      <c r="G14" s="110"/>
    </row>
    <row r="15" spans="2:10" x14ac:dyDescent="0.25">
      <c r="B15" s="58" t="s">
        <v>277</v>
      </c>
      <c r="C15" s="58">
        <v>1.86</v>
      </c>
      <c r="D15" s="108">
        <v>14428</v>
      </c>
      <c r="E15" s="109"/>
      <c r="F15" s="110"/>
      <c r="G15" s="110"/>
    </row>
    <row r="16" spans="2:10" x14ac:dyDescent="0.25">
      <c r="B16" s="58" t="s">
        <v>278</v>
      </c>
      <c r="C16" s="58">
        <v>2.63</v>
      </c>
      <c r="D16" s="108">
        <v>9192</v>
      </c>
      <c r="E16" s="109"/>
      <c r="F16" s="110"/>
      <c r="G16" s="110"/>
    </row>
    <row r="17" spans="2:7" x14ac:dyDescent="0.25">
      <c r="B17" s="58" t="s">
        <v>279</v>
      </c>
      <c r="C17" s="58">
        <v>2.4500000000000002</v>
      </c>
      <c r="D17" s="108">
        <v>6620</v>
      </c>
      <c r="E17" s="109"/>
      <c r="F17" s="110"/>
      <c r="G17" s="110"/>
    </row>
    <row r="18" spans="2:7" x14ac:dyDescent="0.25">
      <c r="B18" s="58" t="s">
        <v>280</v>
      </c>
      <c r="C18" s="58">
        <v>0.98</v>
      </c>
      <c r="D18" s="108">
        <v>8246</v>
      </c>
      <c r="E18" s="109"/>
      <c r="F18" s="110"/>
      <c r="G18" s="110"/>
    </row>
    <row r="19" spans="2:7" x14ac:dyDescent="0.25">
      <c r="B19" s="58" t="s">
        <v>281</v>
      </c>
      <c r="C19" s="58">
        <v>2.0699999999999998</v>
      </c>
      <c r="D19" s="108">
        <v>11769</v>
      </c>
      <c r="E19" s="109"/>
      <c r="F19" s="110"/>
      <c r="G19" s="110"/>
    </row>
    <row r="20" spans="2:7" x14ac:dyDescent="0.25">
      <c r="B20" s="58" t="s">
        <v>282</v>
      </c>
      <c r="C20" s="58">
        <v>3.29</v>
      </c>
      <c r="D20" s="108">
        <v>11654</v>
      </c>
      <c r="E20" s="109"/>
      <c r="F20" s="110"/>
      <c r="G20" s="110"/>
    </row>
    <row r="21" spans="2:7" x14ac:dyDescent="0.25">
      <c r="B21" s="58" t="s">
        <v>283</v>
      </c>
      <c r="C21" s="58">
        <v>2.02</v>
      </c>
      <c r="D21" s="108">
        <v>6388</v>
      </c>
      <c r="E21" s="109"/>
      <c r="F21" s="110"/>
      <c r="G21" s="110"/>
    </row>
    <row r="22" spans="2:7" x14ac:dyDescent="0.25">
      <c r="B22" s="58" t="s">
        <v>284</v>
      </c>
      <c r="C22" s="58">
        <v>1.98</v>
      </c>
      <c r="D22" s="108">
        <v>6134</v>
      </c>
      <c r="E22" s="109"/>
      <c r="F22" s="110"/>
      <c r="G22" s="110"/>
    </row>
    <row r="23" spans="2:7" x14ac:dyDescent="0.25">
      <c r="B23" s="58" t="s">
        <v>285</v>
      </c>
      <c r="C23" s="58">
        <v>1.78</v>
      </c>
      <c r="D23" s="108">
        <v>14715</v>
      </c>
      <c r="E23" s="109"/>
      <c r="F23" s="110"/>
      <c r="G23" s="110"/>
    </row>
    <row r="24" spans="2:7" x14ac:dyDescent="0.25">
      <c r="B24" s="58" t="s">
        <v>286</v>
      </c>
      <c r="C24" s="58">
        <v>0.11</v>
      </c>
      <c r="D24" s="108">
        <v>5266</v>
      </c>
      <c r="E24" s="109"/>
      <c r="F24" s="110"/>
      <c r="G24" s="110"/>
    </row>
    <row r="25" spans="2:7" x14ac:dyDescent="0.25">
      <c r="B25" s="114"/>
      <c r="C25" s="114"/>
    </row>
  </sheetData>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AB7D5-CC1E-458F-B932-EAB530611078}">
  <sheetPr codeName="Sheet23">
    <tabColor rgb="FFFF0000"/>
  </sheetPr>
  <dimension ref="B2:J25"/>
  <sheetViews>
    <sheetView zoomScale="85" zoomScaleNormal="85" workbookViewId="0"/>
  </sheetViews>
  <sheetFormatPr defaultColWidth="8.88671875" defaultRowHeight="13.2" x14ac:dyDescent="0.25"/>
  <cols>
    <col min="1" max="1" width="2.109375" style="104" customWidth="1"/>
    <col min="2" max="2" width="19.77734375" style="104" bestFit="1" customWidth="1"/>
    <col min="3" max="3" width="15.109375" style="104" customWidth="1"/>
    <col min="4" max="4" width="8.21875" style="104" bestFit="1" customWidth="1"/>
    <col min="5" max="5" width="24.44140625" style="104" customWidth="1"/>
    <col min="6" max="6" width="21.44140625" style="104" customWidth="1"/>
    <col min="7" max="7" width="20.109375" style="104" customWidth="1"/>
    <col min="8" max="8" width="2.44140625" style="104" customWidth="1"/>
    <col min="9" max="9" width="24.77734375" style="104" customWidth="1"/>
    <col min="10" max="10" width="11.88671875" style="104" customWidth="1"/>
    <col min="11" max="16384" width="8.88671875" style="104"/>
  </cols>
  <sheetData>
    <row r="2" spans="2:10" ht="111.75" customHeight="1" x14ac:dyDescent="0.25">
      <c r="D2" s="140" t="s">
        <v>437</v>
      </c>
      <c r="E2" s="141" t="str">
        <f>"1) Using a formula for this column, put the word Yes or No in each cell to state whether or not the employee got the bonus. "&amp;I4</f>
        <v>1) Using a formula for this column, put the word Yes or No in each cell to state whether or not the employee got the bonus. Contact reads: If employee has sales of $10,000 or more they get a bonus.</v>
      </c>
      <c r="F2" s="141" t="str">
        <f>"2) Using a formula for this column, put the bonus amount that each employee earned in each cell. "&amp;I4</f>
        <v>2) Using a formula for this column, put the bonus amount that each employee earned in each cell. Contact reads: If employee has sales of $10,000 or more they get a bonus.</v>
      </c>
      <c r="G2" s="141" t="str">
        <f>"3) Using a formula for this column, Put the text 'Under' in the cell if their Cell Phone Data usage is less than "&amp;J12&amp;" or the text 'Extra Charge' if the usage is 2.5 or more."</f>
        <v>3) Using a formula for this column, Put the text 'Under' in the cell if their Cell Phone Data usage is less than 2.5 or the text 'Extra Charge' if the usage is 2.5 or more.</v>
      </c>
    </row>
    <row r="4" spans="2:10" ht="28.8" x14ac:dyDescent="0.3">
      <c r="B4" s="105" t="s">
        <v>131</v>
      </c>
      <c r="C4" s="105" t="s">
        <v>260</v>
      </c>
      <c r="D4" s="105" t="s">
        <v>132</v>
      </c>
      <c r="E4" s="106" t="s">
        <v>261</v>
      </c>
      <c r="F4" s="106" t="s">
        <v>262</v>
      </c>
      <c r="G4" s="106" t="s">
        <v>263</v>
      </c>
      <c r="H4" s="107"/>
      <c r="I4" s="104" t="str">
        <f>"Contact reads: If employee has sales of "&amp;DOLLAR(J6,0)&amp;" or more they get a bonus."</f>
        <v>Contact reads: If employee has sales of $10,000 or more they get a bonus.</v>
      </c>
    </row>
    <row r="5" spans="2:10" x14ac:dyDescent="0.25">
      <c r="B5" s="58" t="s">
        <v>264</v>
      </c>
      <c r="C5" s="58">
        <v>2.1800000000000002</v>
      </c>
      <c r="D5" s="108">
        <v>9181</v>
      </c>
      <c r="E5" s="109" t="str" cm="1">
        <f t="array" ref="E5:E24">IF(D5:D24&gt;=$J$6,"Yes","No")</f>
        <v>No</v>
      </c>
      <c r="F5" s="110" cm="1">
        <f t="array" ref="F5:F24">IF(D5:D24&gt;=$J$6,$J$7,0)</f>
        <v>0</v>
      </c>
      <c r="G5" s="110" t="str" cm="1">
        <f t="array" ref="G5:G24">IF(C5:C24&lt;$J$12,"Under","Extra Charge")</f>
        <v>Under</v>
      </c>
      <c r="I5" s="104" t="str">
        <f>"Are Sales equal to or greater than "&amp;DOLLAR(J6,0)&amp;"?"</f>
        <v>Are Sales equal to or greater than $10,000?</v>
      </c>
    </row>
    <row r="6" spans="2:10" x14ac:dyDescent="0.25">
      <c r="B6" s="58" t="s">
        <v>265</v>
      </c>
      <c r="C6" s="58">
        <v>2.0499999999999998</v>
      </c>
      <c r="D6" s="108">
        <v>7827</v>
      </c>
      <c r="E6" s="109" t="str">
        <v>No</v>
      </c>
      <c r="F6" s="110">
        <v>0</v>
      </c>
      <c r="G6" s="110" t="str">
        <v>Under</v>
      </c>
      <c r="I6" s="111" t="s">
        <v>112</v>
      </c>
      <c r="J6" s="112">
        <v>10000</v>
      </c>
    </row>
    <row r="7" spans="2:10" x14ac:dyDescent="0.25">
      <c r="B7" s="58" t="s">
        <v>266</v>
      </c>
      <c r="C7" s="58">
        <v>0.19</v>
      </c>
      <c r="D7" s="108">
        <v>6477</v>
      </c>
      <c r="E7" s="109" t="str">
        <v>No</v>
      </c>
      <c r="F7" s="110">
        <v>0</v>
      </c>
      <c r="G7" s="110" t="str">
        <v>Under</v>
      </c>
      <c r="I7" s="113" t="s">
        <v>267</v>
      </c>
      <c r="J7" s="112">
        <v>750</v>
      </c>
    </row>
    <row r="8" spans="2:10" x14ac:dyDescent="0.25">
      <c r="B8" s="58" t="s">
        <v>268</v>
      </c>
      <c r="C8" s="58">
        <v>1.76</v>
      </c>
      <c r="D8" s="108">
        <v>9358</v>
      </c>
      <c r="E8" s="109" t="str">
        <v>No</v>
      </c>
      <c r="F8" s="110">
        <v>0</v>
      </c>
      <c r="G8" s="110" t="str">
        <v>Under</v>
      </c>
    </row>
    <row r="9" spans="2:10" x14ac:dyDescent="0.25">
      <c r="B9" s="58" t="s">
        <v>269</v>
      </c>
      <c r="C9" s="58">
        <v>0.59</v>
      </c>
      <c r="D9" s="108">
        <v>14915</v>
      </c>
      <c r="E9" s="109" t="str">
        <v>Yes</v>
      </c>
      <c r="F9" s="110">
        <v>750</v>
      </c>
      <c r="G9" s="110" t="str">
        <v>Under</v>
      </c>
    </row>
    <row r="10" spans="2:10" x14ac:dyDescent="0.25">
      <c r="B10" s="58" t="s">
        <v>270</v>
      </c>
      <c r="C10" s="58">
        <v>2.82</v>
      </c>
      <c r="D10" s="108">
        <v>8670</v>
      </c>
      <c r="E10" s="109" t="str">
        <v>No</v>
      </c>
      <c r="F10" s="110">
        <v>0</v>
      </c>
      <c r="G10" s="110" t="str">
        <v>Extra Charge</v>
      </c>
    </row>
    <row r="11" spans="2:10" x14ac:dyDescent="0.25">
      <c r="B11" s="58" t="s">
        <v>271</v>
      </c>
      <c r="C11" s="58">
        <v>1.56</v>
      </c>
      <c r="D11" s="108">
        <v>12413</v>
      </c>
      <c r="E11" s="109" t="str">
        <v>Yes</v>
      </c>
      <c r="F11" s="110">
        <v>750</v>
      </c>
      <c r="G11" s="110" t="str">
        <v>Under</v>
      </c>
      <c r="I11" s="104" t="s">
        <v>272</v>
      </c>
    </row>
    <row r="12" spans="2:10" x14ac:dyDescent="0.25">
      <c r="B12" s="58" t="s">
        <v>273</v>
      </c>
      <c r="C12" s="58">
        <v>2.21</v>
      </c>
      <c r="D12" s="108">
        <v>6291</v>
      </c>
      <c r="E12" s="109" t="str">
        <v>No</v>
      </c>
      <c r="F12" s="110">
        <v>0</v>
      </c>
      <c r="G12" s="110" t="str">
        <v>Under</v>
      </c>
      <c r="I12" s="113" t="s">
        <v>274</v>
      </c>
      <c r="J12" s="58">
        <v>2.5</v>
      </c>
    </row>
    <row r="13" spans="2:10" x14ac:dyDescent="0.25">
      <c r="B13" s="58" t="s">
        <v>275</v>
      </c>
      <c r="C13" s="58">
        <v>1.97</v>
      </c>
      <c r="D13" s="108">
        <v>6083</v>
      </c>
      <c r="E13" s="109" t="str">
        <v>No</v>
      </c>
      <c r="F13" s="110">
        <v>0</v>
      </c>
      <c r="G13" s="110" t="str">
        <v>Under</v>
      </c>
    </row>
    <row r="14" spans="2:10" x14ac:dyDescent="0.25">
      <c r="B14" s="58" t="s">
        <v>276</v>
      </c>
      <c r="C14" s="58">
        <v>2.99</v>
      </c>
      <c r="D14" s="108">
        <v>12633</v>
      </c>
      <c r="E14" s="109" t="str">
        <v>Yes</v>
      </c>
      <c r="F14" s="110">
        <v>750</v>
      </c>
      <c r="G14" s="110" t="str">
        <v>Extra Charge</v>
      </c>
    </row>
    <row r="15" spans="2:10" x14ac:dyDescent="0.25">
      <c r="B15" s="58" t="s">
        <v>277</v>
      </c>
      <c r="C15" s="58">
        <v>1.86</v>
      </c>
      <c r="D15" s="108">
        <v>14428</v>
      </c>
      <c r="E15" s="109" t="str">
        <v>Yes</v>
      </c>
      <c r="F15" s="110">
        <v>750</v>
      </c>
      <c r="G15" s="110" t="str">
        <v>Under</v>
      </c>
      <c r="J15" s="104" t="str" cm="1">
        <f t="array" aca="1" ref="J15:J17" ca="1">_xlfn.TOCOL(_xlfn.FORMULATEXT(E5:G5))</f>
        <v>=IF(D5:D24&gt;=$J$6,"Yes","No")</v>
      </c>
    </row>
    <row r="16" spans="2:10" x14ac:dyDescent="0.25">
      <c r="B16" s="58" t="s">
        <v>278</v>
      </c>
      <c r="C16" s="58">
        <v>2.63</v>
      </c>
      <c r="D16" s="108">
        <v>9192</v>
      </c>
      <c r="E16" s="109" t="str">
        <v>No</v>
      </c>
      <c r="F16" s="110">
        <v>0</v>
      </c>
      <c r="G16" s="110" t="str">
        <v>Extra Charge</v>
      </c>
      <c r="J16" s="104" t="str">
        <f ca="1"/>
        <v>=IF(D5:D24&gt;=$J$6,$J$7,0)</v>
      </c>
    </row>
    <row r="17" spans="2:10" x14ac:dyDescent="0.25">
      <c r="B17" s="58" t="s">
        <v>279</v>
      </c>
      <c r="C17" s="58">
        <v>2.4500000000000002</v>
      </c>
      <c r="D17" s="108">
        <v>6620</v>
      </c>
      <c r="E17" s="109" t="str">
        <v>No</v>
      </c>
      <c r="F17" s="110">
        <v>0</v>
      </c>
      <c r="G17" s="110" t="str">
        <v>Under</v>
      </c>
      <c r="J17" s="104" t="str">
        <f ca="1"/>
        <v>=IF(C5:C24&lt;$J$12,"Under","Extra Charge")</v>
      </c>
    </row>
    <row r="18" spans="2:10" x14ac:dyDescent="0.25">
      <c r="B18" s="58" t="s">
        <v>280</v>
      </c>
      <c r="C18" s="58">
        <v>0.98</v>
      </c>
      <c r="D18" s="108">
        <v>8246</v>
      </c>
      <c r="E18" s="109" t="str">
        <v>No</v>
      </c>
      <c r="F18" s="110">
        <v>0</v>
      </c>
      <c r="G18" s="110" t="str">
        <v>Under</v>
      </c>
    </row>
    <row r="19" spans="2:10" x14ac:dyDescent="0.25">
      <c r="B19" s="58" t="s">
        <v>281</v>
      </c>
      <c r="C19" s="58">
        <v>2.0699999999999998</v>
      </c>
      <c r="D19" s="108">
        <v>11769</v>
      </c>
      <c r="E19" s="109" t="str">
        <v>Yes</v>
      </c>
      <c r="F19" s="110">
        <v>750</v>
      </c>
      <c r="G19" s="110" t="str">
        <v>Under</v>
      </c>
    </row>
    <row r="20" spans="2:10" x14ac:dyDescent="0.25">
      <c r="B20" s="58" t="s">
        <v>282</v>
      </c>
      <c r="C20" s="58">
        <v>3.29</v>
      </c>
      <c r="D20" s="108">
        <v>11654</v>
      </c>
      <c r="E20" s="109" t="str">
        <v>Yes</v>
      </c>
      <c r="F20" s="110">
        <v>750</v>
      </c>
      <c r="G20" s="110" t="str">
        <v>Extra Charge</v>
      </c>
    </row>
    <row r="21" spans="2:10" x14ac:dyDescent="0.25">
      <c r="B21" s="58" t="s">
        <v>283</v>
      </c>
      <c r="C21" s="58">
        <v>2.02</v>
      </c>
      <c r="D21" s="108">
        <v>6388</v>
      </c>
      <c r="E21" s="109" t="str">
        <v>No</v>
      </c>
      <c r="F21" s="110">
        <v>0</v>
      </c>
      <c r="G21" s="110" t="str">
        <v>Under</v>
      </c>
    </row>
    <row r="22" spans="2:10" x14ac:dyDescent="0.25">
      <c r="B22" s="58" t="s">
        <v>284</v>
      </c>
      <c r="C22" s="58">
        <v>1.98</v>
      </c>
      <c r="D22" s="108">
        <v>6134</v>
      </c>
      <c r="E22" s="109" t="str">
        <v>No</v>
      </c>
      <c r="F22" s="110">
        <v>0</v>
      </c>
      <c r="G22" s="110" t="str">
        <v>Under</v>
      </c>
    </row>
    <row r="23" spans="2:10" x14ac:dyDescent="0.25">
      <c r="B23" s="58" t="s">
        <v>285</v>
      </c>
      <c r="C23" s="58">
        <v>1.78</v>
      </c>
      <c r="D23" s="108">
        <v>14715</v>
      </c>
      <c r="E23" s="109" t="str">
        <v>Yes</v>
      </c>
      <c r="F23" s="110">
        <v>750</v>
      </c>
      <c r="G23" s="110" t="str">
        <v>Under</v>
      </c>
    </row>
    <row r="24" spans="2:10" x14ac:dyDescent="0.25">
      <c r="B24" s="58" t="s">
        <v>286</v>
      </c>
      <c r="C24" s="58">
        <v>0.11</v>
      </c>
      <c r="D24" s="108">
        <v>5266</v>
      </c>
      <c r="E24" s="109" t="str">
        <v>No</v>
      </c>
      <c r="F24" s="110">
        <v>0</v>
      </c>
      <c r="G24" s="110" t="str">
        <v>Under</v>
      </c>
    </row>
    <row r="25" spans="2:10" x14ac:dyDescent="0.25">
      <c r="B25" s="114"/>
      <c r="C25" s="114"/>
    </row>
  </sheetData>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AAFF9-651B-471E-9B13-5D6A0B054875}">
  <sheetPr codeName="Sheet24">
    <tabColor rgb="FF0000FF"/>
  </sheetPr>
  <dimension ref="A1:R18"/>
  <sheetViews>
    <sheetView zoomScale="115" zoomScaleNormal="115" workbookViewId="0"/>
  </sheetViews>
  <sheetFormatPr defaultColWidth="9.109375" defaultRowHeight="14.4" x14ac:dyDescent="0.3"/>
  <cols>
    <col min="1" max="1" width="1.44140625" customWidth="1"/>
    <col min="2" max="2" width="15.109375" customWidth="1"/>
    <col min="3" max="3" width="14.77734375" customWidth="1"/>
    <col min="4" max="4" width="11.21875" customWidth="1"/>
    <col min="5" max="5" width="10.88671875" customWidth="1"/>
    <col min="6" max="6" width="9.21875" bestFit="1" customWidth="1"/>
    <col min="7" max="7" width="14.44140625" customWidth="1"/>
    <col min="8" max="8" width="2.21875" customWidth="1"/>
    <col min="9" max="9" width="29.21875" bestFit="1" customWidth="1"/>
    <col min="16" max="16" width="11.109375" bestFit="1" customWidth="1"/>
    <col min="17" max="17" width="1.44140625" customWidth="1"/>
  </cols>
  <sheetData>
    <row r="1" spans="1:18" ht="6" customHeight="1" x14ac:dyDescent="0.3"/>
    <row r="2" spans="1:18" x14ac:dyDescent="0.3">
      <c r="A2" s="7"/>
      <c r="B2" t="s">
        <v>287</v>
      </c>
    </row>
    <row r="3" spans="1:18" x14ac:dyDescent="0.3">
      <c r="A3" s="7"/>
      <c r="B3" t="s">
        <v>288</v>
      </c>
    </row>
    <row r="4" spans="1:18" x14ac:dyDescent="0.3">
      <c r="A4" s="7"/>
      <c r="B4" t="s">
        <v>289</v>
      </c>
    </row>
    <row r="5" spans="1:18" ht="6" customHeight="1" x14ac:dyDescent="0.3"/>
    <row r="6" spans="1:18" ht="28.8" x14ac:dyDescent="0.3">
      <c r="B6" s="17" t="s">
        <v>118</v>
      </c>
      <c r="C6" s="17" t="s">
        <v>119</v>
      </c>
      <c r="D6" s="17" t="s">
        <v>120</v>
      </c>
      <c r="E6" s="17" t="s">
        <v>121</v>
      </c>
      <c r="F6" s="17" t="s">
        <v>122</v>
      </c>
      <c r="G6" s="16" t="s">
        <v>123</v>
      </c>
      <c r="P6" s="7" t="s">
        <v>290</v>
      </c>
    </row>
    <row r="7" spans="1:18" x14ac:dyDescent="0.3">
      <c r="B7" s="52">
        <v>44470</v>
      </c>
      <c r="C7" s="20" t="s">
        <v>124</v>
      </c>
      <c r="D7" s="20"/>
      <c r="E7" s="53"/>
      <c r="F7" s="53"/>
      <c r="G7" s="53">
        <v>5000</v>
      </c>
      <c r="R7" s="7" t="str">
        <f>"Formula in cell "&amp;ADDRESS(ROW(P8),COLUMN(P8),4)&amp;":"</f>
        <v>Formula in cell P8:</v>
      </c>
    </row>
    <row r="8" spans="1:18" x14ac:dyDescent="0.3">
      <c r="B8" s="52">
        <v>44472</v>
      </c>
      <c r="C8" s="20" t="s">
        <v>125</v>
      </c>
      <c r="D8" s="20" t="s">
        <v>126</v>
      </c>
      <c r="E8" s="53"/>
      <c r="F8" s="53">
        <v>500</v>
      </c>
      <c r="G8" s="54"/>
      <c r="P8" s="54" cm="1">
        <f t="array" aca="1" ref="P8:P18" ca="1">IF(ISNUMBER(B8:B18),OFFSET(F8:F18,-1,1)-F8:F18+E8:E18,"")</f>
        <v>4500</v>
      </c>
      <c r="R8" t="str">
        <f ca="1">IF(_xlfn.ISFORMULA(P8),_xlfn.FORMULATEXT(P8),"")</f>
        <v>=IF(ISNUMBER(B8:B18),OFFSET(F8:F18,-1,1)-F8:F18+E8:E18,"")</v>
      </c>
    </row>
    <row r="9" spans="1:18" x14ac:dyDescent="0.3">
      <c r="B9" s="52">
        <v>44473</v>
      </c>
      <c r="C9" s="20" t="s">
        <v>127</v>
      </c>
      <c r="D9" s="20" t="s">
        <v>128</v>
      </c>
      <c r="E9" s="53">
        <v>950</v>
      </c>
      <c r="F9" s="53"/>
      <c r="G9" s="54"/>
      <c r="P9" s="54">
        <f ca="1"/>
        <v>950</v>
      </c>
    </row>
    <row r="10" spans="1:18" x14ac:dyDescent="0.3">
      <c r="B10" s="52">
        <v>44473</v>
      </c>
      <c r="C10" s="20" t="s">
        <v>129</v>
      </c>
      <c r="D10" s="20"/>
      <c r="E10" s="53"/>
      <c r="F10" s="53">
        <v>55.25</v>
      </c>
      <c r="G10" s="54"/>
      <c r="P10" s="54">
        <f ca="1"/>
        <v>-55.25</v>
      </c>
    </row>
    <row r="11" spans="1:18" x14ac:dyDescent="0.3">
      <c r="B11" s="52">
        <v>44474</v>
      </c>
      <c r="C11" s="20" t="s">
        <v>130</v>
      </c>
      <c r="D11" s="20" t="s">
        <v>128</v>
      </c>
      <c r="E11" s="53">
        <v>150.44999999999999</v>
      </c>
      <c r="F11" s="53"/>
      <c r="G11" s="54"/>
      <c r="P11" s="54">
        <f ca="1"/>
        <v>150.44999999999999</v>
      </c>
    </row>
    <row r="12" spans="1:18" x14ac:dyDescent="0.3">
      <c r="B12" s="52"/>
      <c r="C12" s="20"/>
      <c r="D12" s="20"/>
      <c r="E12" s="53"/>
      <c r="F12" s="53"/>
      <c r="G12" s="54"/>
      <c r="P12" s="54" t="str">
        <f ca="1"/>
        <v/>
      </c>
    </row>
    <row r="13" spans="1:18" x14ac:dyDescent="0.3">
      <c r="B13" s="52"/>
      <c r="C13" s="20"/>
      <c r="D13" s="20"/>
      <c r="E13" s="53"/>
      <c r="F13" s="53"/>
      <c r="G13" s="54"/>
      <c r="P13" s="54" t="str">
        <f ca="1"/>
        <v/>
      </c>
    </row>
    <row r="14" spans="1:18" x14ac:dyDescent="0.3">
      <c r="B14" s="52"/>
      <c r="C14" s="20"/>
      <c r="D14" s="20"/>
      <c r="E14" s="53"/>
      <c r="F14" s="53"/>
      <c r="G14" s="54"/>
      <c r="P14" s="54" t="str">
        <f ca="1"/>
        <v/>
      </c>
    </row>
    <row r="15" spans="1:18" x14ac:dyDescent="0.3">
      <c r="B15" s="52"/>
      <c r="C15" s="20"/>
      <c r="D15" s="20"/>
      <c r="E15" s="53"/>
      <c r="F15" s="53"/>
      <c r="G15" s="54"/>
      <c r="P15" s="54" t="str">
        <f ca="1"/>
        <v/>
      </c>
    </row>
    <row r="16" spans="1:18" x14ac:dyDescent="0.3">
      <c r="B16" s="52"/>
      <c r="C16" s="20"/>
      <c r="D16" s="20"/>
      <c r="E16" s="53"/>
      <c r="F16" s="53"/>
      <c r="G16" s="54"/>
      <c r="P16" s="54" t="str">
        <f ca="1"/>
        <v/>
      </c>
    </row>
    <row r="17" spans="2:16" x14ac:dyDescent="0.3">
      <c r="B17" s="52"/>
      <c r="C17" s="20"/>
      <c r="D17" s="20"/>
      <c r="E17" s="53"/>
      <c r="F17" s="53"/>
      <c r="G17" s="54"/>
      <c r="P17" s="54" t="str">
        <f ca="1"/>
        <v/>
      </c>
    </row>
    <row r="18" spans="2:16" x14ac:dyDescent="0.3">
      <c r="B18" s="52"/>
      <c r="C18" s="20"/>
      <c r="D18" s="20"/>
      <c r="E18" s="53"/>
      <c r="F18" s="53"/>
      <c r="G18" s="54"/>
      <c r="P18" s="54" t="str">
        <f ca="1"/>
        <v/>
      </c>
    </row>
  </sheetData>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68C4-2B37-45B1-9E42-51C70BCCE7FE}">
  <sheetPr codeName="Sheet25">
    <tabColor rgb="FFFF0000"/>
  </sheetPr>
  <dimension ref="A1:N18"/>
  <sheetViews>
    <sheetView zoomScaleNormal="100" workbookViewId="0"/>
  </sheetViews>
  <sheetFormatPr defaultColWidth="9.109375" defaultRowHeight="14.4" x14ac:dyDescent="0.3"/>
  <cols>
    <col min="1" max="1" width="1.44140625" customWidth="1"/>
    <col min="2" max="2" width="15.109375" customWidth="1"/>
    <col min="3" max="3" width="14.77734375" customWidth="1"/>
    <col min="4" max="4" width="11.21875" customWidth="1"/>
    <col min="5" max="5" width="10.88671875" customWidth="1"/>
    <col min="6" max="6" width="9.21875" bestFit="1" customWidth="1"/>
    <col min="7" max="7" width="14.44140625" customWidth="1"/>
    <col min="8" max="8" width="2.21875" customWidth="1"/>
    <col min="9" max="9" width="29.21875" bestFit="1" customWidth="1"/>
    <col min="10" max="10" width="13" customWidth="1"/>
    <col min="11" max="11" width="1.88671875" customWidth="1"/>
    <col min="12" max="12" width="27.44140625" bestFit="1" customWidth="1"/>
    <col min="13" max="13" width="2.21875" customWidth="1"/>
    <col min="14" max="14" width="11.109375" bestFit="1" customWidth="1"/>
    <col min="15" max="15" width="1.44140625" customWidth="1"/>
  </cols>
  <sheetData>
    <row r="1" spans="1:14" ht="6" customHeight="1" x14ac:dyDescent="0.3"/>
    <row r="2" spans="1:14" x14ac:dyDescent="0.3">
      <c r="A2" s="7"/>
      <c r="B2" t="s">
        <v>287</v>
      </c>
    </row>
    <row r="3" spans="1:14" x14ac:dyDescent="0.3">
      <c r="A3" s="7"/>
      <c r="B3" t="s">
        <v>288</v>
      </c>
    </row>
    <row r="4" spans="1:14" x14ac:dyDescent="0.3">
      <c r="A4" s="7"/>
      <c r="B4" t="s">
        <v>289</v>
      </c>
      <c r="N4" s="7" t="s">
        <v>291</v>
      </c>
    </row>
    <row r="5" spans="1:14" ht="6" customHeight="1" x14ac:dyDescent="0.3"/>
    <row r="6" spans="1:14" ht="28.8" x14ac:dyDescent="0.3">
      <c r="B6" s="17" t="s">
        <v>118</v>
      </c>
      <c r="C6" s="17" t="s">
        <v>119</v>
      </c>
      <c r="D6" s="17" t="s">
        <v>120</v>
      </c>
      <c r="E6" s="17" t="s">
        <v>121</v>
      </c>
      <c r="F6" s="17" t="s">
        <v>122</v>
      </c>
      <c r="G6" s="16" t="s">
        <v>123</v>
      </c>
      <c r="J6" s="16" t="s">
        <v>123</v>
      </c>
    </row>
    <row r="7" spans="1:14" x14ac:dyDescent="0.3">
      <c r="B7" s="52">
        <v>44470</v>
      </c>
      <c r="C7" s="20" t="s">
        <v>124</v>
      </c>
      <c r="D7" s="20"/>
      <c r="E7" s="53"/>
      <c r="F7" s="53"/>
      <c r="G7" s="53">
        <v>5000</v>
      </c>
      <c r="I7" s="7" t="str">
        <f>"Formula in cell "&amp;ADDRESS(ROW(G8),COLUMN(G8),4)&amp;":"</f>
        <v>Formula in cell G8:</v>
      </c>
      <c r="J7" s="53">
        <v>5000</v>
      </c>
      <c r="K7" s="7"/>
      <c r="L7" s="7" t="str">
        <f>"Formula in cell "&amp;ADDRESS(ROW(J8),COLUMN(J8),4)&amp;":"</f>
        <v>Formula in cell J8:</v>
      </c>
      <c r="M7" s="7"/>
      <c r="N7" s="7" t="s">
        <v>292</v>
      </c>
    </row>
    <row r="8" spans="1:14" x14ac:dyDescent="0.3">
      <c r="B8" s="52">
        <v>44472</v>
      </c>
      <c r="C8" s="20" t="s">
        <v>125</v>
      </c>
      <c r="D8" s="20" t="s">
        <v>126</v>
      </c>
      <c r="E8" s="53"/>
      <c r="F8" s="53">
        <v>500</v>
      </c>
      <c r="G8" s="54">
        <f>IF(ISNUMBER(B8),G7+E8-F8,"")</f>
        <v>4500</v>
      </c>
      <c r="I8" t="str">
        <f ca="1">_xlfn.IFNA(_xlfn.FORMULATEXT(G8),"")</f>
        <v>=IF(ISNUMBER(B8),G7+E8-F8,"")</v>
      </c>
      <c r="J8" s="54">
        <f>IF(ISBLANK(B8),"",G7-F8+E8)</f>
        <v>4500</v>
      </c>
      <c r="L8" t="str">
        <f ca="1">_xlfn.IFNA(_xlfn.FORMULATEXT(J8),"")</f>
        <v>=IF(ISBLANK(B8),"",G7-F8+E8)</v>
      </c>
      <c r="N8" s="54" cm="1">
        <f t="array" ref="N8:N18">IF(ISNUMBER(B8:B18),_xlfn.SCAN(G7,E8:E18-F8:F18,_xleta.SUM),"")</f>
        <v>4500</v>
      </c>
    </row>
    <row r="9" spans="1:14" x14ac:dyDescent="0.3">
      <c r="B9" s="52">
        <v>44473</v>
      </c>
      <c r="C9" s="20" t="s">
        <v>127</v>
      </c>
      <c r="D9" s="20" t="s">
        <v>128</v>
      </c>
      <c r="E9" s="53">
        <v>950</v>
      </c>
      <c r="F9" s="53"/>
      <c r="G9" s="54">
        <f t="shared" ref="G9:G18" si="0">IF(ISNUMBER(B9),G8+E9-F9,"")</f>
        <v>5450</v>
      </c>
      <c r="J9" s="54">
        <f t="shared" ref="J9:J18" si="1">IF(ISBLANK(B9),"",G8-F9+E9)</f>
        <v>5450</v>
      </c>
      <c r="N9" s="54">
        <v>5450</v>
      </c>
    </row>
    <row r="10" spans="1:14" x14ac:dyDescent="0.3">
      <c r="B10" s="52">
        <v>44473</v>
      </c>
      <c r="C10" s="20" t="s">
        <v>129</v>
      </c>
      <c r="D10" s="20"/>
      <c r="E10" s="53"/>
      <c r="F10" s="53">
        <v>55.25</v>
      </c>
      <c r="G10" s="54">
        <f t="shared" si="0"/>
        <v>5394.75</v>
      </c>
      <c r="J10" s="54">
        <f t="shared" si="1"/>
        <v>5394.75</v>
      </c>
      <c r="N10" s="54">
        <v>5394.75</v>
      </c>
    </row>
    <row r="11" spans="1:14" x14ac:dyDescent="0.3">
      <c r="B11" s="52">
        <v>44474</v>
      </c>
      <c r="C11" s="20" t="s">
        <v>130</v>
      </c>
      <c r="D11" s="20" t="s">
        <v>128</v>
      </c>
      <c r="E11" s="53">
        <v>150.44999999999999</v>
      </c>
      <c r="F11" s="53"/>
      <c r="G11" s="54">
        <f t="shared" si="0"/>
        <v>5545.2</v>
      </c>
      <c r="J11" s="54">
        <f t="shared" si="1"/>
        <v>5545.2</v>
      </c>
      <c r="N11" s="54">
        <v>5545.2</v>
      </c>
    </row>
    <row r="12" spans="1:14" x14ac:dyDescent="0.3">
      <c r="B12" s="52"/>
      <c r="C12" s="20"/>
      <c r="D12" s="20"/>
      <c r="E12" s="53"/>
      <c r="F12" s="53"/>
      <c r="G12" s="54" t="str">
        <f t="shared" si="0"/>
        <v/>
      </c>
      <c r="J12" s="54" t="str">
        <f t="shared" si="1"/>
        <v/>
      </c>
      <c r="N12" s="54" t="str">
        <v/>
      </c>
    </row>
    <row r="13" spans="1:14" x14ac:dyDescent="0.3">
      <c r="B13" s="52"/>
      <c r="C13" s="20"/>
      <c r="D13" s="20"/>
      <c r="E13" s="53"/>
      <c r="F13" s="53"/>
      <c r="G13" s="54" t="str">
        <f t="shared" si="0"/>
        <v/>
      </c>
      <c r="J13" s="54" t="str">
        <f t="shared" si="1"/>
        <v/>
      </c>
      <c r="N13" s="54" t="str">
        <v/>
      </c>
    </row>
    <row r="14" spans="1:14" x14ac:dyDescent="0.3">
      <c r="B14" s="52"/>
      <c r="C14" s="20"/>
      <c r="D14" s="20"/>
      <c r="E14" s="53"/>
      <c r="F14" s="53"/>
      <c r="G14" s="54" t="str">
        <f t="shared" si="0"/>
        <v/>
      </c>
      <c r="J14" s="54" t="str">
        <f t="shared" si="1"/>
        <v/>
      </c>
      <c r="N14" s="54" t="str">
        <v/>
      </c>
    </row>
    <row r="15" spans="1:14" x14ac:dyDescent="0.3">
      <c r="B15" s="52"/>
      <c r="C15" s="20"/>
      <c r="D15" s="20"/>
      <c r="E15" s="53"/>
      <c r="F15" s="53"/>
      <c r="G15" s="54" t="str">
        <f t="shared" si="0"/>
        <v/>
      </c>
      <c r="J15" s="54" t="str">
        <f t="shared" si="1"/>
        <v/>
      </c>
      <c r="N15" s="54" t="str">
        <v/>
      </c>
    </row>
    <row r="16" spans="1:14" x14ac:dyDescent="0.3">
      <c r="B16" s="52"/>
      <c r="C16" s="20"/>
      <c r="D16" s="20"/>
      <c r="E16" s="53"/>
      <c r="F16" s="53"/>
      <c r="G16" s="54" t="str">
        <f t="shared" si="0"/>
        <v/>
      </c>
      <c r="J16" s="54" t="str">
        <f t="shared" si="1"/>
        <v/>
      </c>
      <c r="N16" s="54" t="str">
        <v/>
      </c>
    </row>
    <row r="17" spans="2:14" x14ac:dyDescent="0.3">
      <c r="B17" s="52"/>
      <c r="C17" s="20"/>
      <c r="D17" s="20"/>
      <c r="E17" s="53"/>
      <c r="F17" s="53"/>
      <c r="G17" s="54" t="str">
        <f t="shared" si="0"/>
        <v/>
      </c>
      <c r="J17" s="54" t="str">
        <f t="shared" si="1"/>
        <v/>
      </c>
      <c r="N17" s="54" t="str">
        <v/>
      </c>
    </row>
    <row r="18" spans="2:14" x14ac:dyDescent="0.3">
      <c r="B18" s="52"/>
      <c r="C18" s="20"/>
      <c r="D18" s="20"/>
      <c r="E18" s="53"/>
      <c r="F18" s="53"/>
      <c r="G18" s="54" t="str">
        <f t="shared" si="0"/>
        <v/>
      </c>
      <c r="J18" s="54" t="str">
        <f t="shared" si="1"/>
        <v/>
      </c>
      <c r="N18" s="54" t="str">
        <v/>
      </c>
    </row>
  </sheetData>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3E8E0-D795-4AD5-A691-584ADC85DE77}">
  <sheetPr codeName="Sheet26">
    <tabColor rgb="FF0000FF"/>
  </sheetPr>
  <dimension ref="A1:K31"/>
  <sheetViews>
    <sheetView zoomScale="81" zoomScaleNormal="81" workbookViewId="0"/>
  </sheetViews>
  <sheetFormatPr defaultColWidth="8.88671875" defaultRowHeight="14.4" x14ac:dyDescent="0.3"/>
  <cols>
    <col min="1" max="1" width="1.44140625" customWidth="1"/>
    <col min="2" max="2" width="8" customWidth="1"/>
    <col min="3" max="3" width="7.109375" customWidth="1"/>
    <col min="5" max="5" width="8.21875" customWidth="1"/>
    <col min="6" max="6" width="11" bestFit="1" customWidth="1"/>
    <col min="7" max="7" width="8.77734375" customWidth="1"/>
    <col min="8" max="11" width="13" customWidth="1"/>
    <col min="12" max="12" width="2.44140625" customWidth="1"/>
  </cols>
  <sheetData>
    <row r="1" spans="1:11" ht="5.25" customHeight="1" x14ac:dyDescent="0.3"/>
    <row r="2" spans="1:11" x14ac:dyDescent="0.3">
      <c r="B2" s="7" t="s">
        <v>293</v>
      </c>
    </row>
    <row r="3" spans="1:11" ht="36" customHeight="1" x14ac:dyDescent="0.35">
      <c r="A3" s="115"/>
      <c r="B3" s="158" t="str">
        <f>"Create Boolean formula that will deliver TRUE or FALSE in cell "&amp;ADDRESS(ROW(H16),COLUMN(H16),4)&amp;" that spills to the rows below, and tests each '% Enrollment' number to see if it is "&amp;TEXT($F$13,"0.00%")&amp;" or above."</f>
        <v>Create Boolean formula that will deliver TRUE or FALSE in cell H16 that spills to the rows below, and tests each '% Enrollment' number to see if it is 70.00% or above.</v>
      </c>
      <c r="C3" s="158"/>
      <c r="D3" s="158"/>
      <c r="E3" s="158"/>
      <c r="F3" s="158"/>
      <c r="G3" s="158"/>
      <c r="H3" s="158"/>
      <c r="I3" s="158"/>
      <c r="J3" s="158"/>
      <c r="K3" s="158"/>
    </row>
    <row r="4" spans="1:11" ht="36" customHeight="1" x14ac:dyDescent="0.35">
      <c r="A4" s="115"/>
      <c r="B4" s="158" t="str">
        <f>"Create Boolean formula that will deliver TRUE or FALSE in cell "&amp;ADDRESS(ROW(I16),COLUMN(I16),4)&amp;" that spills to the rows below, and tests each '% Enrollment' number to see if it is past the hurdle of "&amp;TEXT($F$13,"0.00%")&amp;"."</f>
        <v>Create Boolean formula that will deliver TRUE or FALSE in cell I16 that spills to the rows below, and tests each '% Enrollment' number to see if it is past the hurdle of 70.00%.</v>
      </c>
      <c r="C4" s="158"/>
      <c r="D4" s="158"/>
      <c r="E4" s="158"/>
      <c r="F4" s="158"/>
      <c r="G4" s="158"/>
      <c r="H4" s="158"/>
      <c r="I4" s="158"/>
      <c r="J4" s="158"/>
      <c r="K4" s="158"/>
    </row>
    <row r="5" spans="1:11" ht="36" customHeight="1" x14ac:dyDescent="0.35">
      <c r="A5" s="115"/>
      <c r="B5" s="158" t="str">
        <f>"Use the IF function in cell "&amp;ADDRESS(ROW(J16),COLUMN(J16),4)&amp;" that spills to the rows below, and tests each '% Enrollment' number to see if it is "&amp;TEXT($F$13,"0.00%")&amp;" or above."</f>
        <v>Use the IF function in cell J16 that spills to the rows below, and tests each '% Enrollment' number to see if it is 70.00% or above.</v>
      </c>
      <c r="C5" s="158"/>
      <c r="D5" s="158"/>
      <c r="E5" s="158"/>
      <c r="F5" s="158"/>
      <c r="G5" s="158"/>
      <c r="H5" s="158"/>
      <c r="I5" s="158"/>
      <c r="J5" s="158"/>
      <c r="K5" s="158"/>
    </row>
    <row r="6" spans="1:11" ht="18" customHeight="1" x14ac:dyDescent="0.35">
      <c r="A6" s="115"/>
      <c r="B6" s="159" t="str">
        <f>"If it is "&amp;TEXT($F$13,"0.00%")&amp;" or above, the IF should deliver 'Target Met', otherwise 'No'."</f>
        <v>If it is 70.00% or above, the IF should deliver 'Target Met', otherwise 'No'.</v>
      </c>
      <c r="C6" s="159"/>
      <c r="D6" s="159"/>
      <c r="E6" s="159"/>
      <c r="F6" s="159"/>
      <c r="G6" s="159"/>
      <c r="H6" s="159"/>
      <c r="I6" s="159"/>
      <c r="J6" s="159"/>
      <c r="K6" s="159"/>
    </row>
    <row r="7" spans="1:11" ht="36" customHeight="1" x14ac:dyDescent="0.35">
      <c r="A7" s="115"/>
      <c r="B7" s="158" t="str">
        <f>"Use the IF function in cell "&amp;ADDRESS(ROW(K16),COLUMN(K16),4)&amp;" that spills to the rows below, and tests each '% Enrollment' number to see if it is past the hurdle of "&amp;TEXT($F$13,"0.00%")&amp;"."</f>
        <v>Use the IF function in cell K16 that spills to the rows below, and tests each '% Enrollment' number to see if it is past the hurdle of 70.00%.</v>
      </c>
      <c r="C7" s="158"/>
      <c r="D7" s="158"/>
      <c r="E7" s="158"/>
      <c r="F7" s="158"/>
      <c r="G7" s="158"/>
      <c r="H7" s="158"/>
      <c r="I7" s="158"/>
      <c r="J7" s="158"/>
      <c r="K7" s="158"/>
    </row>
    <row r="8" spans="1:11" ht="18" customHeight="1" x14ac:dyDescent="0.35">
      <c r="A8" s="115"/>
      <c r="B8" s="159" t="str">
        <f>"If it is past the hurdle of "&amp;TEXT($F$13,"0.00%")&amp;", the IF should deliver 'Target Met', otherwise 'No'."</f>
        <v>If it is past the hurdle of 70.00%, the IF should deliver 'Target Met', otherwise 'No'.</v>
      </c>
      <c r="C8" s="159"/>
      <c r="D8" s="159"/>
      <c r="E8" s="159"/>
      <c r="F8" s="159"/>
      <c r="G8" s="159"/>
      <c r="H8" s="159"/>
      <c r="I8" s="159"/>
      <c r="J8" s="159"/>
      <c r="K8" s="159"/>
    </row>
    <row r="9" spans="1:11" ht="36" customHeight="1" x14ac:dyDescent="0.35">
      <c r="A9" s="115"/>
      <c r="B9" s="158" t="s">
        <v>294</v>
      </c>
      <c r="C9" s="158"/>
      <c r="D9" s="158"/>
      <c r="E9" s="158"/>
      <c r="F9" s="158"/>
      <c r="G9" s="158"/>
      <c r="H9" s="158"/>
      <c r="I9" s="158"/>
      <c r="J9" s="158"/>
      <c r="K9" s="158"/>
    </row>
    <row r="10" spans="1:11" ht="6.75" customHeight="1" x14ac:dyDescent="0.3"/>
    <row r="11" spans="1:11" ht="6.75" customHeight="1" x14ac:dyDescent="0.3"/>
    <row r="12" spans="1:11" ht="6.75" customHeight="1" x14ac:dyDescent="0.3">
      <c r="F12" s="116"/>
    </row>
    <row r="13" spans="1:11" x14ac:dyDescent="0.3">
      <c r="E13" s="88" t="s">
        <v>295</v>
      </c>
      <c r="F13" s="117">
        <v>0.7</v>
      </c>
    </row>
    <row r="14" spans="1:11" ht="28.8" x14ac:dyDescent="0.3">
      <c r="H14" s="118" t="str">
        <f>TEXT($F$13,"0.00%")&amp;" included"</f>
        <v>70.00% included</v>
      </c>
      <c r="I14" s="118" t="str">
        <f>TEXT($F$13,"0.00%")&amp;" NOT included"</f>
        <v>70.00% NOT included</v>
      </c>
      <c r="J14" s="118" t="str">
        <f>TEXT($F$13,"0.00%")&amp;" included"</f>
        <v>70.00% included</v>
      </c>
      <c r="K14" s="118" t="str">
        <f>TEXT($F$13,"0.00%")&amp;" NOT included"</f>
        <v>70.00% NOT included</v>
      </c>
    </row>
    <row r="15" spans="1:11" ht="43.2" x14ac:dyDescent="0.3">
      <c r="B15" s="119" t="s">
        <v>296</v>
      </c>
      <c r="C15" s="119" t="s">
        <v>297</v>
      </c>
      <c r="D15" s="119" t="s">
        <v>298</v>
      </c>
      <c r="E15" s="120" t="s">
        <v>299</v>
      </c>
      <c r="F15" s="119" t="s">
        <v>300</v>
      </c>
      <c r="G15" s="120" t="s">
        <v>301</v>
      </c>
      <c r="H15" s="120" t="s">
        <v>302</v>
      </c>
      <c r="I15" s="120" t="s">
        <v>302</v>
      </c>
      <c r="J15" s="120" t="s">
        <v>303</v>
      </c>
      <c r="K15" s="120" t="s">
        <v>303</v>
      </c>
    </row>
    <row r="16" spans="1:11" x14ac:dyDescent="0.3">
      <c r="B16" s="20" t="s">
        <v>304</v>
      </c>
      <c r="C16" s="20" t="s">
        <v>305</v>
      </c>
      <c r="D16" s="20" t="s">
        <v>306</v>
      </c>
      <c r="E16" s="20">
        <v>30</v>
      </c>
      <c r="F16" s="20">
        <v>21</v>
      </c>
      <c r="G16" s="121">
        <f t="shared" ref="G16:G31" si="0">F16/E16</f>
        <v>0.7</v>
      </c>
      <c r="H16" s="21"/>
      <c r="I16" s="21"/>
      <c r="J16" s="21"/>
      <c r="K16" s="21"/>
    </row>
    <row r="17" spans="2:11" x14ac:dyDescent="0.3">
      <c r="B17" s="20" t="s">
        <v>304</v>
      </c>
      <c r="C17" s="20" t="s">
        <v>307</v>
      </c>
      <c r="D17" s="20" t="s">
        <v>308</v>
      </c>
      <c r="E17" s="20">
        <v>30</v>
      </c>
      <c r="F17" s="20">
        <v>21</v>
      </c>
      <c r="G17" s="121">
        <f t="shared" si="0"/>
        <v>0.7</v>
      </c>
      <c r="H17" s="21"/>
      <c r="I17" s="21"/>
      <c r="J17" s="21"/>
      <c r="K17" s="21"/>
    </row>
    <row r="18" spans="2:11" x14ac:dyDescent="0.3">
      <c r="B18" s="20" t="s">
        <v>304</v>
      </c>
      <c r="C18" s="20" t="s">
        <v>309</v>
      </c>
      <c r="D18" s="20" t="s">
        <v>310</v>
      </c>
      <c r="E18" s="20">
        <v>25</v>
      </c>
      <c r="F18" s="20">
        <v>12</v>
      </c>
      <c r="G18" s="121">
        <f t="shared" si="0"/>
        <v>0.48</v>
      </c>
      <c r="H18" s="21"/>
      <c r="I18" s="21"/>
      <c r="J18" s="21"/>
      <c r="K18" s="21"/>
    </row>
    <row r="19" spans="2:11" x14ac:dyDescent="0.3">
      <c r="B19" s="20" t="s">
        <v>304</v>
      </c>
      <c r="C19" s="20" t="s">
        <v>311</v>
      </c>
      <c r="D19" s="20" t="s">
        <v>312</v>
      </c>
      <c r="E19" s="20">
        <v>25</v>
      </c>
      <c r="F19" s="20">
        <v>10</v>
      </c>
      <c r="G19" s="121">
        <f t="shared" si="0"/>
        <v>0.4</v>
      </c>
      <c r="H19" s="21"/>
      <c r="I19" s="21"/>
      <c r="J19" s="21"/>
      <c r="K19" s="21"/>
    </row>
    <row r="20" spans="2:11" x14ac:dyDescent="0.3">
      <c r="B20" s="20" t="s">
        <v>313</v>
      </c>
      <c r="C20" s="20" t="s">
        <v>305</v>
      </c>
      <c r="D20" s="20" t="s">
        <v>306</v>
      </c>
      <c r="E20" s="20">
        <v>25</v>
      </c>
      <c r="F20" s="20">
        <v>20</v>
      </c>
      <c r="G20" s="121">
        <f t="shared" si="0"/>
        <v>0.8</v>
      </c>
      <c r="H20" s="21"/>
      <c r="I20" s="21"/>
      <c r="J20" s="21"/>
      <c r="K20" s="21"/>
    </row>
    <row r="21" spans="2:11" x14ac:dyDescent="0.3">
      <c r="B21" s="20" t="s">
        <v>313</v>
      </c>
      <c r="C21" s="20" t="s">
        <v>307</v>
      </c>
      <c r="D21" s="20" t="s">
        <v>308</v>
      </c>
      <c r="E21" s="20">
        <v>25</v>
      </c>
      <c r="F21" s="20">
        <v>15</v>
      </c>
      <c r="G21" s="121">
        <f t="shared" si="0"/>
        <v>0.6</v>
      </c>
      <c r="H21" s="21"/>
      <c r="I21" s="21"/>
      <c r="J21" s="21"/>
      <c r="K21" s="21"/>
    </row>
    <row r="22" spans="2:11" x14ac:dyDescent="0.3">
      <c r="B22" s="20" t="s">
        <v>313</v>
      </c>
      <c r="C22" s="20" t="s">
        <v>309</v>
      </c>
      <c r="D22" s="20" t="s">
        <v>310</v>
      </c>
      <c r="E22" s="20">
        <v>25</v>
      </c>
      <c r="F22" s="20">
        <v>16</v>
      </c>
      <c r="G22" s="121">
        <f t="shared" si="0"/>
        <v>0.64</v>
      </c>
      <c r="H22" s="21"/>
      <c r="I22" s="21"/>
      <c r="J22" s="21"/>
      <c r="K22" s="21"/>
    </row>
    <row r="23" spans="2:11" x14ac:dyDescent="0.3">
      <c r="B23" s="20" t="s">
        <v>313</v>
      </c>
      <c r="C23" s="20" t="s">
        <v>311</v>
      </c>
      <c r="D23" s="20" t="s">
        <v>312</v>
      </c>
      <c r="E23" s="20">
        <v>25</v>
      </c>
      <c r="F23" s="20">
        <v>19</v>
      </c>
      <c r="G23" s="121">
        <f t="shared" si="0"/>
        <v>0.76</v>
      </c>
      <c r="H23" s="21"/>
      <c r="I23" s="21"/>
      <c r="J23" s="21"/>
      <c r="K23" s="21"/>
    </row>
    <row r="24" spans="2:11" x14ac:dyDescent="0.3">
      <c r="B24" s="20" t="s">
        <v>314</v>
      </c>
      <c r="C24" s="20" t="s">
        <v>305</v>
      </c>
      <c r="D24" s="20" t="s">
        <v>306</v>
      </c>
      <c r="E24" s="20">
        <v>25</v>
      </c>
      <c r="F24" s="20">
        <v>15</v>
      </c>
      <c r="G24" s="121">
        <f t="shared" si="0"/>
        <v>0.6</v>
      </c>
      <c r="H24" s="21"/>
      <c r="I24" s="21"/>
      <c r="J24" s="21"/>
      <c r="K24" s="21"/>
    </row>
    <row r="25" spans="2:11" x14ac:dyDescent="0.3">
      <c r="B25" s="20" t="s">
        <v>314</v>
      </c>
      <c r="C25" s="20" t="s">
        <v>307</v>
      </c>
      <c r="D25" s="20" t="s">
        <v>308</v>
      </c>
      <c r="E25" s="20">
        <v>25</v>
      </c>
      <c r="F25" s="20">
        <v>20</v>
      </c>
      <c r="G25" s="121">
        <f t="shared" si="0"/>
        <v>0.8</v>
      </c>
      <c r="H25" s="21"/>
      <c r="I25" s="21"/>
      <c r="J25" s="21"/>
      <c r="K25" s="21"/>
    </row>
    <row r="26" spans="2:11" x14ac:dyDescent="0.3">
      <c r="B26" s="20" t="s">
        <v>314</v>
      </c>
      <c r="C26" s="20" t="s">
        <v>309</v>
      </c>
      <c r="D26" s="20" t="s">
        <v>310</v>
      </c>
      <c r="E26" s="20">
        <v>25</v>
      </c>
      <c r="F26" s="20">
        <v>20</v>
      </c>
      <c r="G26" s="121">
        <f t="shared" si="0"/>
        <v>0.8</v>
      </c>
      <c r="H26" s="21"/>
      <c r="I26" s="21"/>
      <c r="J26" s="21"/>
      <c r="K26" s="21"/>
    </row>
    <row r="27" spans="2:11" x14ac:dyDescent="0.3">
      <c r="B27" s="20" t="s">
        <v>314</v>
      </c>
      <c r="C27" s="20" t="s">
        <v>311</v>
      </c>
      <c r="D27" s="20" t="s">
        <v>312</v>
      </c>
      <c r="E27" s="20">
        <v>25</v>
      </c>
      <c r="F27" s="20">
        <v>12</v>
      </c>
      <c r="G27" s="121">
        <f t="shared" si="0"/>
        <v>0.48</v>
      </c>
      <c r="H27" s="21"/>
      <c r="I27" s="21"/>
      <c r="J27" s="21"/>
      <c r="K27" s="21"/>
    </row>
    <row r="28" spans="2:11" x14ac:dyDescent="0.3">
      <c r="B28" s="20" t="s">
        <v>315</v>
      </c>
      <c r="C28" s="20" t="s">
        <v>305</v>
      </c>
      <c r="D28" s="20" t="s">
        <v>306</v>
      </c>
      <c r="E28" s="20">
        <v>25</v>
      </c>
      <c r="F28" s="20">
        <v>22</v>
      </c>
      <c r="G28" s="121">
        <f t="shared" si="0"/>
        <v>0.88</v>
      </c>
      <c r="H28" s="21"/>
      <c r="I28" s="21"/>
      <c r="J28" s="21"/>
      <c r="K28" s="21"/>
    </row>
    <row r="29" spans="2:11" x14ac:dyDescent="0.3">
      <c r="B29" s="20" t="s">
        <v>315</v>
      </c>
      <c r="C29" s="20" t="s">
        <v>307</v>
      </c>
      <c r="D29" s="20" t="s">
        <v>308</v>
      </c>
      <c r="E29" s="20">
        <v>25</v>
      </c>
      <c r="F29" s="20">
        <v>16</v>
      </c>
      <c r="G29" s="121">
        <f t="shared" si="0"/>
        <v>0.64</v>
      </c>
      <c r="H29" s="21"/>
      <c r="I29" s="21"/>
      <c r="J29" s="21"/>
      <c r="K29" s="21"/>
    </row>
    <row r="30" spans="2:11" x14ac:dyDescent="0.3">
      <c r="B30" s="20" t="s">
        <v>315</v>
      </c>
      <c r="C30" s="20" t="s">
        <v>309</v>
      </c>
      <c r="D30" s="20" t="s">
        <v>310</v>
      </c>
      <c r="E30" s="20">
        <v>25</v>
      </c>
      <c r="F30" s="20">
        <v>19</v>
      </c>
      <c r="G30" s="121">
        <f t="shared" si="0"/>
        <v>0.76</v>
      </c>
      <c r="H30" s="21"/>
      <c r="I30" s="21"/>
      <c r="J30" s="21"/>
      <c r="K30" s="21"/>
    </row>
    <row r="31" spans="2:11" x14ac:dyDescent="0.3">
      <c r="B31" s="20" t="s">
        <v>315</v>
      </c>
      <c r="C31" s="20" t="s">
        <v>311</v>
      </c>
      <c r="D31" s="20" t="s">
        <v>312</v>
      </c>
      <c r="E31" s="20">
        <v>25</v>
      </c>
      <c r="F31" s="20">
        <v>14</v>
      </c>
      <c r="G31" s="121">
        <f t="shared" si="0"/>
        <v>0.56000000000000005</v>
      </c>
      <c r="H31" s="21"/>
      <c r="I31" s="21"/>
      <c r="J31" s="21"/>
      <c r="K31" s="21"/>
    </row>
  </sheetData>
  <mergeCells count="7">
    <mergeCell ref="B9:K9"/>
    <mergeCell ref="B3:K3"/>
    <mergeCell ref="B4:K4"/>
    <mergeCell ref="B5:K5"/>
    <mergeCell ref="B6:K6"/>
    <mergeCell ref="B7:K7"/>
    <mergeCell ref="B8:K8"/>
  </mergeCell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A1F15-E24B-4809-8FBA-819A89620AC2}">
  <sheetPr codeName="Sheet27">
    <tabColor rgb="FFFF0000"/>
  </sheetPr>
  <dimension ref="A2:M31"/>
  <sheetViews>
    <sheetView zoomScale="85" zoomScaleNormal="85" workbookViewId="0"/>
  </sheetViews>
  <sheetFormatPr defaultColWidth="9.109375" defaultRowHeight="14.4" x14ac:dyDescent="0.3"/>
  <cols>
    <col min="1" max="1" width="2.44140625" customWidth="1"/>
    <col min="2" max="2" width="9.77734375" customWidth="1"/>
    <col min="3" max="3" width="7.109375" customWidth="1"/>
    <col min="5" max="5" width="11.88671875" bestFit="1" customWidth="1"/>
    <col min="6" max="6" width="11" bestFit="1" customWidth="1"/>
    <col min="7" max="7" width="10.44140625" customWidth="1"/>
    <col min="8" max="8" width="18.44140625" bestFit="1" customWidth="1"/>
    <col min="9" max="9" width="19.88671875" bestFit="1" customWidth="1"/>
    <col min="10" max="10" width="33.44140625" bestFit="1" customWidth="1"/>
    <col min="11" max="11" width="32.44140625" bestFit="1" customWidth="1"/>
  </cols>
  <sheetData>
    <row r="2" spans="1:13" x14ac:dyDescent="0.3">
      <c r="B2" s="7" t="s">
        <v>293</v>
      </c>
    </row>
    <row r="3" spans="1:13" ht="17.25" customHeight="1" x14ac:dyDescent="0.35">
      <c r="A3" s="115"/>
      <c r="B3" s="122" t="str">
        <f>"Create Boolean formula that will deliver TRUE or FALSE in cell "&amp;ADDRESS(ROW(H16),COLUMN(H16),4)&amp;" that spills to the rows below, and tests each '% Enrollment' number to see if it is "&amp;TEXT($F$13,"0.00%")&amp;" or above."</f>
        <v>Create Boolean formula that will deliver TRUE or FALSE in cell H16 that spills to the rows below, and tests each '% Enrollment' number to see if it is 70.00% or above.</v>
      </c>
      <c r="C3" s="122"/>
      <c r="D3" s="122"/>
      <c r="E3" s="122"/>
      <c r="F3" s="122"/>
      <c r="G3" s="122"/>
      <c r="H3" s="122"/>
      <c r="I3" s="122"/>
      <c r="J3" s="122"/>
      <c r="K3" s="122"/>
    </row>
    <row r="4" spans="1:13" ht="17.25" customHeight="1" x14ac:dyDescent="0.35">
      <c r="A4" s="115"/>
      <c r="B4" s="122" t="str">
        <f>"Create Boolean formula that will deliver TRUE or FALSE in cell "&amp;ADDRESS(ROW(I16),COLUMN(I16),4)&amp;" that spills to the rows below, and tests each '% Enrollment' number to see if it is past the hurdle of "&amp;TEXT($F$13,"0.00%")&amp;"."</f>
        <v>Create Boolean formula that will deliver TRUE or FALSE in cell I16 that spills to the rows below, and tests each '% Enrollment' number to see if it is past the hurdle of 70.00%.</v>
      </c>
      <c r="C4" s="122"/>
      <c r="D4" s="122"/>
      <c r="E4" s="122"/>
      <c r="F4" s="122"/>
      <c r="G4" s="122"/>
      <c r="H4" s="122"/>
      <c r="I4" s="122"/>
      <c r="J4" s="122"/>
      <c r="K4" s="122"/>
    </row>
    <row r="5" spans="1:13" ht="17.25" customHeight="1" x14ac:dyDescent="0.35">
      <c r="A5" s="115"/>
      <c r="B5" s="122" t="str">
        <f>"Use the IF function in cell "&amp;ADDRESS(ROW(J16),COLUMN(J16),4)&amp;" that spills to the rows below, and tests each '% Enrollment' number to see if it is "&amp;TEXT($F$13,"0.00%")&amp;" or above."</f>
        <v>Use the IF function in cell J16 that spills to the rows below, and tests each '% Enrollment' number to see if it is 70.00% or above.</v>
      </c>
      <c r="C5" s="122"/>
      <c r="D5" s="122"/>
      <c r="E5" s="122"/>
      <c r="F5" s="122"/>
      <c r="G5" s="122"/>
      <c r="H5" s="122"/>
      <c r="I5" s="122"/>
      <c r="J5" s="122"/>
      <c r="K5" s="122"/>
    </row>
    <row r="6" spans="1:13" ht="17.25" customHeight="1" x14ac:dyDescent="0.35">
      <c r="A6" s="115"/>
      <c r="B6" s="122" t="str">
        <f>"If it is "&amp;TEXT($F$13,"0.00%")&amp;" or above, the IF should deliver 'Target Met', otherwise 'No'."</f>
        <v>If it is 70.00% or above, the IF should deliver 'Target Met', otherwise 'No'.</v>
      </c>
      <c r="C6" s="122"/>
      <c r="D6" s="122"/>
      <c r="E6" s="122"/>
      <c r="F6" s="122"/>
      <c r="G6" s="122"/>
      <c r="H6" s="122"/>
      <c r="I6" s="122"/>
      <c r="J6" s="122"/>
      <c r="K6" s="122"/>
    </row>
    <row r="7" spans="1:13" ht="17.25" customHeight="1" x14ac:dyDescent="0.35">
      <c r="A7" s="115"/>
      <c r="B7" s="122" t="str">
        <f>"Use the IF function in cell "&amp;ADDRESS(ROW(K16),COLUMN(K16),4)&amp;" that spills to the rows below, and tests each '% Enrollment' number to see if it is past the hurdle of "&amp;TEXT($F$13,"0.00%")&amp;"."</f>
        <v>Use the IF function in cell K16 that spills to the rows below, and tests each '% Enrollment' number to see if it is past the hurdle of 70.00%.</v>
      </c>
      <c r="C7" s="122"/>
      <c r="D7" s="122"/>
      <c r="E7" s="122"/>
      <c r="F7" s="122"/>
      <c r="G7" s="122"/>
      <c r="H7" s="122"/>
      <c r="I7" s="122"/>
      <c r="J7" s="122"/>
      <c r="K7" s="122"/>
    </row>
    <row r="8" spans="1:13" ht="17.25" customHeight="1" x14ac:dyDescent="0.35">
      <c r="A8" s="115"/>
      <c r="B8" s="122" t="str">
        <f>"If it is past the hurdle of "&amp;TEXT($F$13,"0.00%")&amp;", the IF should deliver 'Target Met', otherwise 'No'."</f>
        <v>If it is past the hurdle of 70.00%, the IF should deliver 'Target Met', otherwise 'No'.</v>
      </c>
      <c r="C8" s="122"/>
      <c r="D8" s="122"/>
      <c r="E8" s="122"/>
      <c r="F8" s="122"/>
      <c r="G8" s="122"/>
      <c r="H8" s="122"/>
      <c r="I8" s="122"/>
      <c r="J8" s="122"/>
      <c r="K8" s="122"/>
    </row>
    <row r="9" spans="1:13" ht="17.25" customHeight="1" x14ac:dyDescent="0.35">
      <c r="A9" s="115"/>
      <c r="B9" s="122" t="s">
        <v>294</v>
      </c>
      <c r="C9" s="122"/>
      <c r="D9" s="122"/>
      <c r="E9" s="122"/>
      <c r="F9" s="122"/>
      <c r="G9" s="122"/>
      <c r="H9" s="122"/>
      <c r="I9" s="122"/>
      <c r="J9" s="122"/>
      <c r="K9" s="122"/>
    </row>
    <row r="11" spans="1:13" x14ac:dyDescent="0.3">
      <c r="H11" s="123" t="str">
        <f>TEXT($F$13,"0.00%")&amp;" included"</f>
        <v>70.00% included</v>
      </c>
      <c r="I11" s="123" t="str">
        <f>TEXT($F$13,"0.00%")&amp;" NOT included"</f>
        <v>70.00% NOT included</v>
      </c>
      <c r="J11" s="123" t="str">
        <f>TEXT($F$13,"0.00%")&amp;" included"</f>
        <v>70.00% included</v>
      </c>
      <c r="K11" s="123" t="str">
        <f>TEXT($F$13,"0.00%")&amp;" NOT included"</f>
        <v>70.00% NOT included</v>
      </c>
    </row>
    <row r="12" spans="1:13" x14ac:dyDescent="0.3">
      <c r="H12" s="103" t="str">
        <f>"Formula in cell "&amp;ADDRESS(ROW(H16),COLUMN(H16),4)&amp;":"</f>
        <v>Formula in cell H16:</v>
      </c>
      <c r="I12" s="103" t="str">
        <f>"Formula in cell "&amp;ADDRESS(ROW(I16),COLUMN(I16),4)&amp;":"</f>
        <v>Formula in cell I16:</v>
      </c>
      <c r="J12" s="103" t="str">
        <f>"Formula in cell "&amp;ADDRESS(ROW(J16),COLUMN(J16),4)&amp;":"</f>
        <v>Formula in cell J16:</v>
      </c>
      <c r="K12" s="103" t="str">
        <f>"Formula in cell "&amp;ADDRESS(ROW(K16),COLUMN(K16),4)&amp;":"</f>
        <v>Formula in cell K16:</v>
      </c>
    </row>
    <row r="13" spans="1:13" x14ac:dyDescent="0.3">
      <c r="E13" s="88" t="s">
        <v>295</v>
      </c>
      <c r="F13" s="117">
        <v>0.7</v>
      </c>
      <c r="H13" s="20" t="str">
        <f ca="1">_xlfn.IFNA(_xlfn.FORMULATEXT(H16),"")</f>
        <v>=G16:G31&gt;=F13</v>
      </c>
      <c r="I13" s="20" t="str">
        <f ca="1">_xlfn.IFNA(_xlfn.FORMULATEXT(I16),"")</f>
        <v>=G16:G31&gt;F13</v>
      </c>
      <c r="J13" s="20" t="str">
        <f ca="1">_xlfn.IFNA(_xlfn.FORMULATEXT(J16),"")</f>
        <v>=IF(G16:G31&gt;=F13,"Target Met","No")</v>
      </c>
      <c r="K13" s="20" t="str">
        <f ca="1">_xlfn.IFNA(_xlfn.FORMULATEXT(K16),"")</f>
        <v>=IF(G16:G31&gt;F13,"Target Met","No")</v>
      </c>
    </row>
    <row r="15" spans="1:13" ht="28.8" x14ac:dyDescent="0.3">
      <c r="B15" s="119" t="s">
        <v>296</v>
      </c>
      <c r="C15" s="119" t="s">
        <v>297</v>
      </c>
      <c r="D15" s="119" t="s">
        <v>298</v>
      </c>
      <c r="E15" s="119" t="s">
        <v>299</v>
      </c>
      <c r="F15" s="119" t="s">
        <v>300</v>
      </c>
      <c r="G15" s="119" t="s">
        <v>301</v>
      </c>
      <c r="H15" s="120" t="s">
        <v>302</v>
      </c>
      <c r="I15" s="120" t="s">
        <v>302</v>
      </c>
      <c r="J15" s="120" t="s">
        <v>303</v>
      </c>
      <c r="K15" s="120" t="s">
        <v>303</v>
      </c>
    </row>
    <row r="16" spans="1:13" x14ac:dyDescent="0.3">
      <c r="B16" s="20" t="s">
        <v>304</v>
      </c>
      <c r="C16" s="20" t="s">
        <v>305</v>
      </c>
      <c r="D16" s="20" t="s">
        <v>306</v>
      </c>
      <c r="E16" s="20">
        <v>30</v>
      </c>
      <c r="F16" s="20">
        <v>21</v>
      </c>
      <c r="G16" s="124">
        <f t="shared" ref="G16:G31" si="0">F16/E16</f>
        <v>0.7</v>
      </c>
      <c r="H16" s="21" t="b" cm="1">
        <f t="array" ref="H16:H31">G16:G31&gt;=F13</f>
        <v>1</v>
      </c>
      <c r="I16" s="21" t="b" cm="1">
        <f t="array" ref="I16:I31">G16:G31&gt;F13</f>
        <v>0</v>
      </c>
      <c r="J16" s="21" t="str" cm="1">
        <f t="array" ref="J16:J31">IF(G16:G31&gt;=F13,"Target Met","No")</f>
        <v>Target Met</v>
      </c>
      <c r="K16" s="21" t="str" cm="1">
        <f t="array" ref="K16:K31">IF(G16:G31&gt;F13,"Target Met","No")</f>
        <v>No</v>
      </c>
      <c r="M16" t="str" cm="1">
        <f t="array" aca="1" ref="M16:M19" ca="1">_xlfn.TOCOL(_xlfn.FORMULATEXT(H16:K16))</f>
        <v>=G16:G31&gt;=F13</v>
      </c>
    </row>
    <row r="17" spans="2:13" x14ac:dyDescent="0.3">
      <c r="B17" s="20" t="s">
        <v>304</v>
      </c>
      <c r="C17" s="20" t="s">
        <v>307</v>
      </c>
      <c r="D17" s="20" t="s">
        <v>308</v>
      </c>
      <c r="E17" s="20">
        <v>30</v>
      </c>
      <c r="F17" s="20">
        <v>21</v>
      </c>
      <c r="G17" s="124">
        <f t="shared" si="0"/>
        <v>0.7</v>
      </c>
      <c r="H17" s="21" t="b">
        <v>1</v>
      </c>
      <c r="I17" s="21" t="b">
        <v>0</v>
      </c>
      <c r="J17" s="21" t="str">
        <v>Target Met</v>
      </c>
      <c r="K17" s="21" t="str">
        <v>No</v>
      </c>
      <c r="M17" t="str">
        <f ca="1"/>
        <v>=G16:G31&gt;F13</v>
      </c>
    </row>
    <row r="18" spans="2:13" x14ac:dyDescent="0.3">
      <c r="B18" s="20" t="s">
        <v>304</v>
      </c>
      <c r="C18" s="20" t="s">
        <v>309</v>
      </c>
      <c r="D18" s="20" t="s">
        <v>310</v>
      </c>
      <c r="E18" s="20">
        <v>25</v>
      </c>
      <c r="F18" s="20">
        <v>12</v>
      </c>
      <c r="G18" s="124">
        <f t="shared" si="0"/>
        <v>0.48</v>
      </c>
      <c r="H18" s="21" t="b">
        <v>0</v>
      </c>
      <c r="I18" s="21" t="b">
        <v>0</v>
      </c>
      <c r="J18" s="21" t="str">
        <v>No</v>
      </c>
      <c r="K18" s="21" t="str">
        <v>No</v>
      </c>
      <c r="M18" t="str">
        <f ca="1"/>
        <v>=IF(G16:G31&gt;=F13,"Target Met","No")</v>
      </c>
    </row>
    <row r="19" spans="2:13" x14ac:dyDescent="0.3">
      <c r="B19" s="20" t="s">
        <v>304</v>
      </c>
      <c r="C19" s="20" t="s">
        <v>311</v>
      </c>
      <c r="D19" s="20" t="s">
        <v>312</v>
      </c>
      <c r="E19" s="20">
        <v>25</v>
      </c>
      <c r="F19" s="20">
        <v>10</v>
      </c>
      <c r="G19" s="124">
        <f t="shared" si="0"/>
        <v>0.4</v>
      </c>
      <c r="H19" s="21" t="b">
        <v>0</v>
      </c>
      <c r="I19" s="21" t="b">
        <v>0</v>
      </c>
      <c r="J19" s="21" t="str">
        <v>No</v>
      </c>
      <c r="K19" s="21" t="str">
        <v>No</v>
      </c>
      <c r="M19" t="str">
        <f ca="1"/>
        <v>=IF(G16:G31&gt;F13,"Target Met","No")</v>
      </c>
    </row>
    <row r="20" spans="2:13" x14ac:dyDescent="0.3">
      <c r="B20" s="20" t="s">
        <v>313</v>
      </c>
      <c r="C20" s="20" t="s">
        <v>305</v>
      </c>
      <c r="D20" s="20" t="s">
        <v>306</v>
      </c>
      <c r="E20" s="20">
        <v>25</v>
      </c>
      <c r="F20" s="20">
        <v>20</v>
      </c>
      <c r="G20" s="124">
        <f t="shared" si="0"/>
        <v>0.8</v>
      </c>
      <c r="H20" s="21" t="b">
        <v>1</v>
      </c>
      <c r="I20" s="21" t="b">
        <v>1</v>
      </c>
      <c r="J20" s="21" t="str">
        <v>Target Met</v>
      </c>
      <c r="K20" s="21" t="str">
        <v>Target Met</v>
      </c>
    </row>
    <row r="21" spans="2:13" x14ac:dyDescent="0.3">
      <c r="B21" s="20" t="s">
        <v>313</v>
      </c>
      <c r="C21" s="20" t="s">
        <v>307</v>
      </c>
      <c r="D21" s="20" t="s">
        <v>308</v>
      </c>
      <c r="E21" s="20">
        <v>25</v>
      </c>
      <c r="F21" s="20">
        <v>15</v>
      </c>
      <c r="G21" s="124">
        <f t="shared" si="0"/>
        <v>0.6</v>
      </c>
      <c r="H21" s="21" t="b">
        <v>0</v>
      </c>
      <c r="I21" s="21" t="b">
        <v>0</v>
      </c>
      <c r="J21" s="21" t="str">
        <v>No</v>
      </c>
      <c r="K21" s="21" t="str">
        <v>No</v>
      </c>
    </row>
    <row r="22" spans="2:13" x14ac:dyDescent="0.3">
      <c r="B22" s="20" t="s">
        <v>313</v>
      </c>
      <c r="C22" s="20" t="s">
        <v>309</v>
      </c>
      <c r="D22" s="20" t="s">
        <v>310</v>
      </c>
      <c r="E22" s="20">
        <v>25</v>
      </c>
      <c r="F22" s="20">
        <v>16</v>
      </c>
      <c r="G22" s="124">
        <f t="shared" si="0"/>
        <v>0.64</v>
      </c>
      <c r="H22" s="21" t="b">
        <v>0</v>
      </c>
      <c r="I22" s="21" t="b">
        <v>0</v>
      </c>
      <c r="J22" s="21" t="str">
        <v>No</v>
      </c>
      <c r="K22" s="21" t="str">
        <v>No</v>
      </c>
    </row>
    <row r="23" spans="2:13" x14ac:dyDescent="0.3">
      <c r="B23" s="20" t="s">
        <v>313</v>
      </c>
      <c r="C23" s="20" t="s">
        <v>311</v>
      </c>
      <c r="D23" s="20" t="s">
        <v>312</v>
      </c>
      <c r="E23" s="20">
        <v>25</v>
      </c>
      <c r="F23" s="20">
        <v>19</v>
      </c>
      <c r="G23" s="124">
        <f t="shared" si="0"/>
        <v>0.76</v>
      </c>
      <c r="H23" s="21" t="b">
        <v>1</v>
      </c>
      <c r="I23" s="21" t="b">
        <v>1</v>
      </c>
      <c r="J23" s="21" t="str">
        <v>Target Met</v>
      </c>
      <c r="K23" s="21" t="str">
        <v>Target Met</v>
      </c>
    </row>
    <row r="24" spans="2:13" x14ac:dyDescent="0.3">
      <c r="B24" s="20" t="s">
        <v>314</v>
      </c>
      <c r="C24" s="20" t="s">
        <v>305</v>
      </c>
      <c r="D24" s="20" t="s">
        <v>306</v>
      </c>
      <c r="E24" s="20">
        <v>25</v>
      </c>
      <c r="F24" s="20">
        <v>15</v>
      </c>
      <c r="G24" s="124">
        <f t="shared" si="0"/>
        <v>0.6</v>
      </c>
      <c r="H24" s="21" t="b">
        <v>0</v>
      </c>
      <c r="I24" s="21" t="b">
        <v>0</v>
      </c>
      <c r="J24" s="21" t="str">
        <v>No</v>
      </c>
      <c r="K24" s="21" t="str">
        <v>No</v>
      </c>
    </row>
    <row r="25" spans="2:13" x14ac:dyDescent="0.3">
      <c r="B25" s="20" t="s">
        <v>314</v>
      </c>
      <c r="C25" s="20" t="s">
        <v>307</v>
      </c>
      <c r="D25" s="20" t="s">
        <v>308</v>
      </c>
      <c r="E25" s="20">
        <v>25</v>
      </c>
      <c r="F25" s="20">
        <v>20</v>
      </c>
      <c r="G25" s="124">
        <f t="shared" si="0"/>
        <v>0.8</v>
      </c>
      <c r="H25" s="21" t="b">
        <v>1</v>
      </c>
      <c r="I25" s="21" t="b">
        <v>1</v>
      </c>
      <c r="J25" s="21" t="str">
        <v>Target Met</v>
      </c>
      <c r="K25" s="21" t="str">
        <v>Target Met</v>
      </c>
    </row>
    <row r="26" spans="2:13" x14ac:dyDescent="0.3">
      <c r="B26" s="20" t="s">
        <v>314</v>
      </c>
      <c r="C26" s="20" t="s">
        <v>309</v>
      </c>
      <c r="D26" s="20" t="s">
        <v>310</v>
      </c>
      <c r="E26" s="20">
        <v>25</v>
      </c>
      <c r="F26" s="20">
        <v>20</v>
      </c>
      <c r="G26" s="124">
        <f t="shared" si="0"/>
        <v>0.8</v>
      </c>
      <c r="H26" s="21" t="b">
        <v>1</v>
      </c>
      <c r="I26" s="21" t="b">
        <v>1</v>
      </c>
      <c r="J26" s="21" t="str">
        <v>Target Met</v>
      </c>
      <c r="K26" s="21" t="str">
        <v>Target Met</v>
      </c>
    </row>
    <row r="27" spans="2:13" x14ac:dyDescent="0.3">
      <c r="B27" s="20" t="s">
        <v>314</v>
      </c>
      <c r="C27" s="20" t="s">
        <v>311</v>
      </c>
      <c r="D27" s="20" t="s">
        <v>312</v>
      </c>
      <c r="E27" s="20">
        <v>25</v>
      </c>
      <c r="F27" s="20">
        <v>12</v>
      </c>
      <c r="G27" s="124">
        <f t="shared" si="0"/>
        <v>0.48</v>
      </c>
      <c r="H27" s="21" t="b">
        <v>0</v>
      </c>
      <c r="I27" s="21" t="b">
        <v>0</v>
      </c>
      <c r="J27" s="21" t="str">
        <v>No</v>
      </c>
      <c r="K27" s="21" t="str">
        <v>No</v>
      </c>
    </row>
    <row r="28" spans="2:13" x14ac:dyDescent="0.3">
      <c r="B28" s="20" t="s">
        <v>315</v>
      </c>
      <c r="C28" s="20" t="s">
        <v>305</v>
      </c>
      <c r="D28" s="20" t="s">
        <v>306</v>
      </c>
      <c r="E28" s="20">
        <v>25</v>
      </c>
      <c r="F28" s="20">
        <v>22</v>
      </c>
      <c r="G28" s="124">
        <f t="shared" si="0"/>
        <v>0.88</v>
      </c>
      <c r="H28" s="21" t="b">
        <v>1</v>
      </c>
      <c r="I28" s="21" t="b">
        <v>1</v>
      </c>
      <c r="J28" s="21" t="str">
        <v>Target Met</v>
      </c>
      <c r="K28" s="21" t="str">
        <v>Target Met</v>
      </c>
    </row>
    <row r="29" spans="2:13" x14ac:dyDescent="0.3">
      <c r="B29" s="20" t="s">
        <v>315</v>
      </c>
      <c r="C29" s="20" t="s">
        <v>307</v>
      </c>
      <c r="D29" s="20" t="s">
        <v>308</v>
      </c>
      <c r="E29" s="20">
        <v>25</v>
      </c>
      <c r="F29" s="20">
        <v>16</v>
      </c>
      <c r="G29" s="124">
        <f t="shared" si="0"/>
        <v>0.64</v>
      </c>
      <c r="H29" s="21" t="b">
        <v>0</v>
      </c>
      <c r="I29" s="21" t="b">
        <v>0</v>
      </c>
      <c r="J29" s="21" t="str">
        <v>No</v>
      </c>
      <c r="K29" s="21" t="str">
        <v>No</v>
      </c>
    </row>
    <row r="30" spans="2:13" x14ac:dyDescent="0.3">
      <c r="B30" s="20" t="s">
        <v>315</v>
      </c>
      <c r="C30" s="20" t="s">
        <v>309</v>
      </c>
      <c r="D30" s="20" t="s">
        <v>310</v>
      </c>
      <c r="E30" s="20">
        <v>25</v>
      </c>
      <c r="F30" s="20">
        <v>19</v>
      </c>
      <c r="G30" s="124">
        <f t="shared" si="0"/>
        <v>0.76</v>
      </c>
      <c r="H30" s="21" t="b">
        <v>1</v>
      </c>
      <c r="I30" s="21" t="b">
        <v>1</v>
      </c>
      <c r="J30" s="21" t="str">
        <v>Target Met</v>
      </c>
      <c r="K30" s="21" t="str">
        <v>Target Met</v>
      </c>
    </row>
    <row r="31" spans="2:13" x14ac:dyDescent="0.3">
      <c r="B31" s="20" t="s">
        <v>315</v>
      </c>
      <c r="C31" s="20" t="s">
        <v>311</v>
      </c>
      <c r="D31" s="20" t="s">
        <v>312</v>
      </c>
      <c r="E31" s="20">
        <v>25</v>
      </c>
      <c r="F31" s="20">
        <v>14</v>
      </c>
      <c r="G31" s="124">
        <f t="shared" si="0"/>
        <v>0.56000000000000005</v>
      </c>
      <c r="H31" s="21" t="b">
        <v>0</v>
      </c>
      <c r="I31" s="21" t="b">
        <v>0</v>
      </c>
      <c r="J31" s="21" t="str">
        <v>No</v>
      </c>
      <c r="K31" s="21" t="str">
        <v>No</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B1816-BFE3-45FE-808B-E80186A57B43}">
  <sheetPr>
    <tabColor rgb="FF0000FF"/>
  </sheetPr>
  <dimension ref="B2:K32"/>
  <sheetViews>
    <sheetView zoomScaleNormal="100" workbookViewId="0"/>
  </sheetViews>
  <sheetFormatPr defaultRowHeight="14.4" x14ac:dyDescent="0.3"/>
  <cols>
    <col min="1" max="1" width="3" customWidth="1"/>
    <col min="2" max="2" width="10.88671875" customWidth="1"/>
    <col min="4" max="4" width="10.44140625" bestFit="1" customWidth="1"/>
    <col min="5" max="5" width="13.33203125" bestFit="1" customWidth="1"/>
    <col min="6" max="6" width="8.6640625" customWidth="1"/>
    <col min="9" max="10" width="11.44140625" customWidth="1"/>
    <col min="11" max="11" width="13" customWidth="1"/>
  </cols>
  <sheetData>
    <row r="2" spans="2:11" x14ac:dyDescent="0.3">
      <c r="B2" s="7" t="s">
        <v>293</v>
      </c>
    </row>
    <row r="3" spans="2:11" x14ac:dyDescent="0.3">
      <c r="B3" t="s">
        <v>438</v>
      </c>
    </row>
    <row r="4" spans="2:11" x14ac:dyDescent="0.3">
      <c r="B4" t="s">
        <v>440</v>
      </c>
    </row>
    <row r="5" spans="2:11" x14ac:dyDescent="0.3">
      <c r="B5" t="s">
        <v>441</v>
      </c>
    </row>
    <row r="6" spans="2:11" x14ac:dyDescent="0.3">
      <c r="B6" t="s">
        <v>442</v>
      </c>
    </row>
    <row r="7" spans="2:11" x14ac:dyDescent="0.3">
      <c r="B7" s="8" t="s">
        <v>443</v>
      </c>
    </row>
    <row r="8" spans="2:11" x14ac:dyDescent="0.3">
      <c r="B8" s="8" t="s">
        <v>444</v>
      </c>
    </row>
    <row r="10" spans="2:11" x14ac:dyDescent="0.3">
      <c r="H10" s="7" t="s">
        <v>439</v>
      </c>
    </row>
    <row r="12" spans="2:11" x14ac:dyDescent="0.3">
      <c r="B12" s="64" t="s">
        <v>118</v>
      </c>
      <c r="C12" s="64" t="s">
        <v>149</v>
      </c>
      <c r="D12" s="64" t="s">
        <v>435</v>
      </c>
      <c r="E12" s="64" t="s">
        <v>436</v>
      </c>
      <c r="H12" s="64" t="s">
        <v>428</v>
      </c>
      <c r="I12" s="64" t="s">
        <v>429</v>
      </c>
      <c r="J12" s="64" t="s">
        <v>430</v>
      </c>
      <c r="K12" s="64" t="s">
        <v>434</v>
      </c>
    </row>
    <row r="13" spans="2:11" x14ac:dyDescent="0.3">
      <c r="B13" s="135" t="s">
        <v>412</v>
      </c>
      <c r="C13" s="127" t="s">
        <v>419</v>
      </c>
      <c r="D13" s="21"/>
      <c r="E13" s="21"/>
      <c r="H13" s="20" t="s">
        <v>431</v>
      </c>
      <c r="I13" s="52">
        <v>45292</v>
      </c>
      <c r="J13" s="52">
        <v>45322</v>
      </c>
      <c r="K13" s="138" cm="1">
        <f t="array" ref="K13:K15">SUMIFS(C13:C32,B13:B32,"&gt;="&amp;I13:I15,B13:B32,"&lt;="&amp;J13:J15)</f>
        <v>9000.4500000000007</v>
      </c>
    </row>
    <row r="14" spans="2:11" x14ac:dyDescent="0.3">
      <c r="B14" s="136">
        <v>45300</v>
      </c>
      <c r="C14" s="137">
        <v>2275.96</v>
      </c>
      <c r="D14" s="21"/>
      <c r="E14" s="21"/>
      <c r="H14" s="20" t="s">
        <v>432</v>
      </c>
      <c r="I14" s="52">
        <v>45323</v>
      </c>
      <c r="J14" s="52">
        <v>45350</v>
      </c>
      <c r="K14" s="138">
        <v>0</v>
      </c>
    </row>
    <row r="15" spans="2:11" x14ac:dyDescent="0.3">
      <c r="B15" s="135">
        <v>45366</v>
      </c>
      <c r="C15" s="127">
        <v>951.94</v>
      </c>
      <c r="D15" s="21"/>
      <c r="E15" s="21"/>
      <c r="H15" s="20" t="s">
        <v>433</v>
      </c>
      <c r="I15" s="52">
        <v>45352</v>
      </c>
      <c r="J15" s="52">
        <v>45382</v>
      </c>
      <c r="K15" s="138">
        <v>5669.85</v>
      </c>
    </row>
    <row r="16" spans="2:11" x14ac:dyDescent="0.3">
      <c r="B16" s="135" t="s">
        <v>411</v>
      </c>
      <c r="C16" s="127" t="s">
        <v>420</v>
      </c>
      <c r="D16" s="21"/>
      <c r="E16" s="21"/>
    </row>
    <row r="17" spans="2:5" x14ac:dyDescent="0.3">
      <c r="B17" s="135" t="s">
        <v>413</v>
      </c>
      <c r="C17" s="127" t="s">
        <v>421</v>
      </c>
      <c r="D17" s="21"/>
      <c r="E17" s="21"/>
    </row>
    <row r="18" spans="2:5" x14ac:dyDescent="0.3">
      <c r="B18" s="135" t="s">
        <v>414</v>
      </c>
      <c r="C18" s="127" t="s">
        <v>422</v>
      </c>
      <c r="D18" s="21"/>
      <c r="E18" s="21"/>
    </row>
    <row r="19" spans="2:5" x14ac:dyDescent="0.3">
      <c r="B19" s="136">
        <v>45315</v>
      </c>
      <c r="C19" s="137">
        <v>1145.44</v>
      </c>
      <c r="D19" s="21"/>
      <c r="E19" s="21"/>
    </row>
    <row r="20" spans="2:5" x14ac:dyDescent="0.3">
      <c r="B20" s="135">
        <v>45372</v>
      </c>
      <c r="C20" s="127">
        <v>1783.27</v>
      </c>
      <c r="D20" s="21"/>
      <c r="E20" s="21"/>
    </row>
    <row r="21" spans="2:5" x14ac:dyDescent="0.3">
      <c r="B21" s="135" t="s">
        <v>415</v>
      </c>
      <c r="C21" s="127" t="s">
        <v>423</v>
      </c>
      <c r="D21" s="21"/>
      <c r="E21" s="21"/>
    </row>
    <row r="22" spans="2:5" x14ac:dyDescent="0.3">
      <c r="B22" s="136">
        <v>45321</v>
      </c>
      <c r="C22" s="137">
        <v>1821.05</v>
      </c>
      <c r="D22" s="21"/>
      <c r="E22" s="21"/>
    </row>
    <row r="23" spans="2:5" x14ac:dyDescent="0.3">
      <c r="B23" s="136">
        <v>45294</v>
      </c>
      <c r="C23" s="137">
        <v>637.39</v>
      </c>
      <c r="D23" s="21"/>
      <c r="E23" s="21"/>
    </row>
    <row r="24" spans="2:5" x14ac:dyDescent="0.3">
      <c r="B24" s="135" t="s">
        <v>416</v>
      </c>
      <c r="C24" s="127" t="s">
        <v>424</v>
      </c>
      <c r="D24" s="21"/>
      <c r="E24" s="21"/>
    </row>
    <row r="25" spans="2:5" x14ac:dyDescent="0.3">
      <c r="B25" s="135" t="s">
        <v>417</v>
      </c>
      <c r="C25" s="127" t="s">
        <v>425</v>
      </c>
      <c r="D25" s="21"/>
      <c r="E25" s="21"/>
    </row>
    <row r="26" spans="2:5" x14ac:dyDescent="0.3">
      <c r="B26" s="136">
        <v>45304</v>
      </c>
      <c r="C26" s="137">
        <v>516.67999999999995</v>
      </c>
      <c r="D26" s="21"/>
      <c r="E26" s="21"/>
    </row>
    <row r="27" spans="2:5" x14ac:dyDescent="0.3">
      <c r="B27" s="136">
        <v>45319</v>
      </c>
      <c r="C27" s="137">
        <v>2438.9299999999998</v>
      </c>
      <c r="D27" s="21"/>
      <c r="E27" s="21"/>
    </row>
    <row r="28" spans="2:5" x14ac:dyDescent="0.3">
      <c r="B28" s="135" t="s">
        <v>418</v>
      </c>
      <c r="C28" s="127" t="s">
        <v>426</v>
      </c>
      <c r="D28" s="21"/>
      <c r="E28" s="21"/>
    </row>
    <row r="29" spans="2:5" x14ac:dyDescent="0.3">
      <c r="B29" s="136">
        <v>45352</v>
      </c>
      <c r="C29" s="137">
        <v>1279.0899999999999</v>
      </c>
      <c r="D29" s="21"/>
      <c r="E29" s="21"/>
    </row>
    <row r="30" spans="2:5" x14ac:dyDescent="0.3">
      <c r="B30" s="135" t="s">
        <v>410</v>
      </c>
      <c r="C30" s="127" t="s">
        <v>427</v>
      </c>
      <c r="D30" s="21"/>
      <c r="E30" s="21"/>
    </row>
    <row r="31" spans="2:5" x14ac:dyDescent="0.3">
      <c r="B31" s="135">
        <v>45363</v>
      </c>
      <c r="C31" s="127">
        <v>1655.55</v>
      </c>
      <c r="D31" s="21"/>
      <c r="E31" s="21"/>
    </row>
    <row r="32" spans="2:5" x14ac:dyDescent="0.3">
      <c r="B32" s="136">
        <v>45301</v>
      </c>
      <c r="C32" s="137">
        <v>165</v>
      </c>
      <c r="D32" s="21"/>
      <c r="E32" s="21"/>
    </row>
  </sheetData>
  <phoneticPr fontId="25" type="noConversion"/>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B9CD7-680C-48C0-AD7C-6DB5D2DB4980}">
  <sheetPr>
    <tabColor rgb="FFFF0000"/>
  </sheetPr>
  <dimension ref="B2:K32"/>
  <sheetViews>
    <sheetView zoomScaleNormal="100" workbookViewId="0"/>
  </sheetViews>
  <sheetFormatPr defaultRowHeight="14.4" x14ac:dyDescent="0.3"/>
  <cols>
    <col min="1" max="1" width="3" customWidth="1"/>
    <col min="2" max="2" width="10.88671875" customWidth="1"/>
    <col min="4" max="4" width="10.44140625" bestFit="1" customWidth="1"/>
    <col min="5" max="5" width="13.33203125" bestFit="1" customWidth="1"/>
    <col min="6" max="6" width="8.6640625" customWidth="1"/>
    <col min="9" max="10" width="11.44140625" customWidth="1"/>
    <col min="11" max="11" width="13" customWidth="1"/>
  </cols>
  <sheetData>
    <row r="2" spans="2:11" x14ac:dyDescent="0.3">
      <c r="B2" s="7" t="s">
        <v>293</v>
      </c>
    </row>
    <row r="3" spans="2:11" x14ac:dyDescent="0.3">
      <c r="B3" t="s">
        <v>438</v>
      </c>
    </row>
    <row r="4" spans="2:11" x14ac:dyDescent="0.3">
      <c r="B4" t="s">
        <v>440</v>
      </c>
    </row>
    <row r="5" spans="2:11" x14ac:dyDescent="0.3">
      <c r="B5" t="s">
        <v>441</v>
      </c>
    </row>
    <row r="6" spans="2:11" x14ac:dyDescent="0.3">
      <c r="B6" t="s">
        <v>442</v>
      </c>
    </row>
    <row r="7" spans="2:11" x14ac:dyDescent="0.3">
      <c r="B7" s="8" t="s">
        <v>443</v>
      </c>
    </row>
    <row r="8" spans="2:11" x14ac:dyDescent="0.3">
      <c r="B8" s="8" t="s">
        <v>444</v>
      </c>
    </row>
    <row r="10" spans="2:11" x14ac:dyDescent="0.3">
      <c r="H10" s="7" t="s">
        <v>439</v>
      </c>
    </row>
    <row r="12" spans="2:11" x14ac:dyDescent="0.3">
      <c r="B12" s="64" t="s">
        <v>118</v>
      </c>
      <c r="C12" s="64" t="s">
        <v>149</v>
      </c>
      <c r="D12" s="64" t="s">
        <v>435</v>
      </c>
      <c r="E12" s="64" t="s">
        <v>436</v>
      </c>
      <c r="H12" s="64" t="s">
        <v>428</v>
      </c>
      <c r="I12" s="64" t="s">
        <v>429</v>
      </c>
      <c r="J12" s="64" t="s">
        <v>430</v>
      </c>
      <c r="K12" s="64" t="s">
        <v>434</v>
      </c>
    </row>
    <row r="13" spans="2:11" x14ac:dyDescent="0.3">
      <c r="B13" s="135">
        <v>45347</v>
      </c>
      <c r="C13" s="127">
        <v>2397.7199999999998</v>
      </c>
      <c r="D13" s="21" t="b" cm="1">
        <f t="array" ref="D13:E32">ISNUMBER(B13:C32)</f>
        <v>1</v>
      </c>
      <c r="E13" s="21" t="b">
        <v>1</v>
      </c>
      <c r="H13" s="20" t="s">
        <v>431</v>
      </c>
      <c r="I13" s="52">
        <v>45292</v>
      </c>
      <c r="J13" s="52">
        <v>45322</v>
      </c>
      <c r="K13" s="138" cm="1">
        <f t="array" ref="K13:K15">SUMIFS(C13:C32,B13:B32,"&gt;="&amp;I13:I15,B13:B32,"&lt;="&amp;J13:J15)</f>
        <v>9000.4500000000007</v>
      </c>
    </row>
    <row r="14" spans="2:11" x14ac:dyDescent="0.3">
      <c r="B14" s="136">
        <v>45300</v>
      </c>
      <c r="C14" s="137">
        <v>2275.96</v>
      </c>
      <c r="D14" s="21" t="b">
        <v>1</v>
      </c>
      <c r="E14" s="21" t="b">
        <v>1</v>
      </c>
      <c r="H14" s="20" t="s">
        <v>432</v>
      </c>
      <c r="I14" s="52">
        <v>45323</v>
      </c>
      <c r="J14" s="52">
        <v>45350</v>
      </c>
      <c r="K14" s="138">
        <v>11600.710000000001</v>
      </c>
    </row>
    <row r="15" spans="2:11" x14ac:dyDescent="0.3">
      <c r="B15" s="135">
        <v>45366</v>
      </c>
      <c r="C15" s="127">
        <v>951.94</v>
      </c>
      <c r="D15" s="21" t="b">
        <v>1</v>
      </c>
      <c r="E15" s="21" t="b">
        <v>1</v>
      </c>
      <c r="H15" s="20" t="s">
        <v>433</v>
      </c>
      <c r="I15" s="52">
        <v>45352</v>
      </c>
      <c r="J15" s="52">
        <v>45382</v>
      </c>
      <c r="K15" s="138">
        <v>5669.85</v>
      </c>
    </row>
    <row r="16" spans="2:11" x14ac:dyDescent="0.3">
      <c r="B16" s="135">
        <v>45336</v>
      </c>
      <c r="C16" s="127">
        <v>831.47</v>
      </c>
      <c r="D16" s="21" t="b">
        <v>1</v>
      </c>
      <c r="E16" s="21" t="b">
        <v>1</v>
      </c>
    </row>
    <row r="17" spans="2:8" x14ac:dyDescent="0.3">
      <c r="B17" s="135">
        <v>45325</v>
      </c>
      <c r="C17" s="127">
        <v>1027.7</v>
      </c>
      <c r="D17" s="21" t="b">
        <v>1</v>
      </c>
      <c r="E17" s="21" t="b">
        <v>1</v>
      </c>
    </row>
    <row r="18" spans="2:8" x14ac:dyDescent="0.3">
      <c r="B18" s="135">
        <v>45344</v>
      </c>
      <c r="C18" s="127">
        <v>2340.61</v>
      </c>
      <c r="D18" s="21" t="b">
        <v>1</v>
      </c>
      <c r="E18" s="21" t="b">
        <v>1</v>
      </c>
    </row>
    <row r="19" spans="2:8" x14ac:dyDescent="0.3">
      <c r="B19" s="136">
        <v>45315</v>
      </c>
      <c r="C19" s="137">
        <v>1145.44</v>
      </c>
      <c r="D19" s="21" t="b">
        <v>1</v>
      </c>
      <c r="E19" s="21" t="b">
        <v>1</v>
      </c>
      <c r="H19" t="str" cm="1">
        <f t="array" aca="1" ref="H19" ca="1">ShowFormulas(D13)</f>
        <v>D13: =ISNUMBER(B13:C32)</v>
      </c>
    </row>
    <row r="20" spans="2:8" x14ac:dyDescent="0.3">
      <c r="B20" s="135">
        <v>45372</v>
      </c>
      <c r="C20" s="127">
        <v>1783.27</v>
      </c>
      <c r="D20" s="21" t="b">
        <v>1</v>
      </c>
      <c r="E20" s="21" t="b">
        <v>1</v>
      </c>
    </row>
    <row r="21" spans="2:8" x14ac:dyDescent="0.3">
      <c r="B21" s="135">
        <v>45350</v>
      </c>
      <c r="C21" s="127">
        <v>1739.27</v>
      </c>
      <c r="D21" s="21" t="b">
        <v>1</v>
      </c>
      <c r="E21" s="21" t="b">
        <v>1</v>
      </c>
    </row>
    <row r="22" spans="2:8" x14ac:dyDescent="0.3">
      <c r="B22" s="136">
        <v>45321</v>
      </c>
      <c r="C22" s="137">
        <v>1821.05</v>
      </c>
      <c r="D22" s="21" t="b">
        <v>1</v>
      </c>
      <c r="E22" s="21" t="b">
        <v>1</v>
      </c>
    </row>
    <row r="23" spans="2:8" x14ac:dyDescent="0.3">
      <c r="B23" s="136">
        <v>45294</v>
      </c>
      <c r="C23" s="137">
        <v>637.39</v>
      </c>
      <c r="D23" s="21" t="b">
        <v>1</v>
      </c>
      <c r="E23" s="21" t="b">
        <v>1</v>
      </c>
    </row>
    <row r="24" spans="2:8" x14ac:dyDescent="0.3">
      <c r="B24" s="135">
        <v>45323</v>
      </c>
      <c r="C24" s="127">
        <v>2134.7199999999998</v>
      </c>
      <c r="D24" s="21" t="b">
        <v>1</v>
      </c>
      <c r="E24" s="21" t="b">
        <v>1</v>
      </c>
    </row>
    <row r="25" spans="2:8" x14ac:dyDescent="0.3">
      <c r="B25" s="135">
        <v>45341</v>
      </c>
      <c r="C25" s="127">
        <v>843.78</v>
      </c>
      <c r="D25" s="21" t="b">
        <v>1</v>
      </c>
      <c r="E25" s="21" t="b">
        <v>1</v>
      </c>
    </row>
    <row r="26" spans="2:8" x14ac:dyDescent="0.3">
      <c r="B26" s="136">
        <v>45304</v>
      </c>
      <c r="C26" s="137">
        <v>516.67999999999995</v>
      </c>
      <c r="D26" s="21" t="b">
        <v>1</v>
      </c>
      <c r="E26" s="21" t="b">
        <v>1</v>
      </c>
    </row>
    <row r="27" spans="2:8" x14ac:dyDescent="0.3">
      <c r="B27" s="136">
        <v>45319</v>
      </c>
      <c r="C27" s="137">
        <v>2438.9299999999998</v>
      </c>
      <c r="D27" s="21" t="b">
        <v>1</v>
      </c>
      <c r="E27" s="21" t="b">
        <v>1</v>
      </c>
    </row>
    <row r="28" spans="2:8" x14ac:dyDescent="0.3">
      <c r="B28" s="135">
        <v>45351</v>
      </c>
      <c r="C28" s="127">
        <v>1180.1099999999999</v>
      </c>
      <c r="D28" s="21" t="b">
        <v>1</v>
      </c>
      <c r="E28" s="21" t="b">
        <v>1</v>
      </c>
    </row>
    <row r="29" spans="2:8" x14ac:dyDescent="0.3">
      <c r="B29" s="136">
        <v>45352</v>
      </c>
      <c r="C29" s="137">
        <v>1279.0899999999999</v>
      </c>
      <c r="D29" s="21" t="b">
        <v>1</v>
      </c>
      <c r="E29" s="21" t="b">
        <v>1</v>
      </c>
    </row>
    <row r="30" spans="2:8" x14ac:dyDescent="0.3">
      <c r="B30" s="135">
        <v>45343</v>
      </c>
      <c r="C30" s="127">
        <v>285.44</v>
      </c>
      <c r="D30" s="21" t="b">
        <v>1</v>
      </c>
      <c r="E30" s="21" t="b">
        <v>1</v>
      </c>
    </row>
    <row r="31" spans="2:8" x14ac:dyDescent="0.3">
      <c r="B31" s="135">
        <v>45363</v>
      </c>
      <c r="C31" s="127">
        <v>1655.55</v>
      </c>
      <c r="D31" s="21" t="b">
        <v>1</v>
      </c>
      <c r="E31" s="21" t="b">
        <v>1</v>
      </c>
    </row>
    <row r="32" spans="2:8" x14ac:dyDescent="0.3">
      <c r="B32" s="136">
        <v>45301</v>
      </c>
      <c r="C32" s="137">
        <v>165</v>
      </c>
      <c r="D32" s="21" t="b">
        <v>1</v>
      </c>
      <c r="E32" s="21" t="b">
        <v>1</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0467C-63C4-4F3B-B851-72988E68CCE7}">
  <sheetPr>
    <tabColor rgb="FF0000FF"/>
  </sheetPr>
  <dimension ref="B2:G21"/>
  <sheetViews>
    <sheetView workbookViewId="0"/>
  </sheetViews>
  <sheetFormatPr defaultRowHeight="14.4" x14ac:dyDescent="0.3"/>
  <cols>
    <col min="1" max="1" width="1.88671875" customWidth="1"/>
    <col min="2" max="2" width="11.77734375" customWidth="1"/>
    <col min="3" max="3" width="16.109375" customWidth="1"/>
    <col min="4" max="4" width="14.33203125" customWidth="1"/>
    <col min="5" max="5" width="15.21875" customWidth="1"/>
    <col min="6" max="6" width="14.21875" customWidth="1"/>
    <col min="7" max="7" width="12.21875" customWidth="1"/>
  </cols>
  <sheetData>
    <row r="2" spans="2:7" x14ac:dyDescent="0.3">
      <c r="B2" s="7" t="s">
        <v>293</v>
      </c>
    </row>
    <row r="3" spans="2:7" x14ac:dyDescent="0.3">
      <c r="B3" t="s">
        <v>455</v>
      </c>
    </row>
    <row r="4" spans="2:7" x14ac:dyDescent="0.3">
      <c r="B4" t="str">
        <f>C7&amp;" of more than "&amp;DOLLAR(D7,0)&amp;" AND a '"&amp;C8&amp;"' of "&amp;D8&amp;" or more AND has less than "&amp;D9&amp;" "&amp;C9&amp;"."</f>
        <v>Total Asset Value of more than $2,500,000 AND a 'Credit Rating 1' of 5 or more AND has less than 6 Late Payments.</v>
      </c>
    </row>
    <row r="5" spans="2:7" x14ac:dyDescent="0.3">
      <c r="B5" t="s">
        <v>456</v>
      </c>
    </row>
    <row r="7" spans="2:7" x14ac:dyDescent="0.3">
      <c r="C7" s="17" t="s">
        <v>445</v>
      </c>
      <c r="D7" s="69">
        <v>2500000</v>
      </c>
    </row>
    <row r="8" spans="2:7" x14ac:dyDescent="0.3">
      <c r="C8" s="17" t="s">
        <v>453</v>
      </c>
      <c r="D8" s="20">
        <v>5</v>
      </c>
    </row>
    <row r="9" spans="2:7" x14ac:dyDescent="0.3">
      <c r="C9" s="17" t="s">
        <v>454</v>
      </c>
      <c r="D9" s="20">
        <v>6</v>
      </c>
    </row>
    <row r="11" spans="2:7" x14ac:dyDescent="0.3">
      <c r="B11" s="17" t="s">
        <v>338</v>
      </c>
      <c r="C11" s="17" t="s">
        <v>445</v>
      </c>
      <c r="D11" s="17" t="s">
        <v>453</v>
      </c>
      <c r="E11" s="17" t="s">
        <v>454</v>
      </c>
      <c r="F11" s="17" t="s">
        <v>446</v>
      </c>
      <c r="G11" s="17" t="s">
        <v>446</v>
      </c>
    </row>
    <row r="12" spans="2:7" x14ac:dyDescent="0.3">
      <c r="B12" s="20" t="s">
        <v>447</v>
      </c>
      <c r="C12" s="69">
        <v>3938124</v>
      </c>
      <c r="D12" s="20">
        <v>6.7</v>
      </c>
      <c r="E12" s="20">
        <v>0</v>
      </c>
      <c r="F12" s="21"/>
      <c r="G12" s="21"/>
    </row>
    <row r="13" spans="2:7" x14ac:dyDescent="0.3">
      <c r="B13" s="20" t="s">
        <v>341</v>
      </c>
      <c r="C13" s="69">
        <v>2483204</v>
      </c>
      <c r="D13" s="20">
        <v>4</v>
      </c>
      <c r="E13" s="20">
        <v>0</v>
      </c>
      <c r="F13" s="21"/>
      <c r="G13" s="21"/>
    </row>
    <row r="14" spans="2:7" x14ac:dyDescent="0.3">
      <c r="B14" s="20" t="s">
        <v>340</v>
      </c>
      <c r="C14" s="69">
        <v>2597034</v>
      </c>
      <c r="D14" s="20">
        <v>5.5</v>
      </c>
      <c r="E14" s="20">
        <v>2</v>
      </c>
      <c r="F14" s="21"/>
      <c r="G14" s="21"/>
    </row>
    <row r="15" spans="2:7" x14ac:dyDescent="0.3">
      <c r="B15" s="20" t="s">
        <v>342</v>
      </c>
      <c r="C15" s="69">
        <v>3355395</v>
      </c>
      <c r="D15" s="20">
        <v>6.5</v>
      </c>
      <c r="E15" s="20">
        <v>7</v>
      </c>
      <c r="F15" s="21"/>
      <c r="G15" s="21"/>
    </row>
    <row r="16" spans="2:7" x14ac:dyDescent="0.3">
      <c r="B16" s="20" t="s">
        <v>448</v>
      </c>
      <c r="C16" s="69">
        <v>1352078</v>
      </c>
      <c r="D16" s="20">
        <v>2.9</v>
      </c>
      <c r="E16" s="20">
        <v>15</v>
      </c>
      <c r="F16" s="21"/>
      <c r="G16" s="21"/>
    </row>
    <row r="17" spans="2:7" x14ac:dyDescent="0.3">
      <c r="B17" s="20" t="s">
        <v>295</v>
      </c>
      <c r="C17" s="69">
        <v>3348247</v>
      </c>
      <c r="D17" s="20">
        <v>5.7</v>
      </c>
      <c r="E17" s="20">
        <v>10</v>
      </c>
      <c r="F17" s="21"/>
      <c r="G17" s="21"/>
    </row>
    <row r="18" spans="2:7" x14ac:dyDescent="0.3">
      <c r="B18" s="20" t="s">
        <v>449</v>
      </c>
      <c r="C18" s="69">
        <v>1008822</v>
      </c>
      <c r="D18" s="20">
        <v>1</v>
      </c>
      <c r="E18" s="20">
        <v>22</v>
      </c>
      <c r="F18" s="21"/>
      <c r="G18" s="21"/>
    </row>
    <row r="19" spans="2:7" x14ac:dyDescent="0.3">
      <c r="B19" s="20" t="s">
        <v>450</v>
      </c>
      <c r="C19" s="69">
        <v>3088100</v>
      </c>
      <c r="D19" s="20">
        <v>9.8000000000000007</v>
      </c>
      <c r="E19" s="20">
        <v>4</v>
      </c>
      <c r="F19" s="21"/>
      <c r="G19" s="21"/>
    </row>
    <row r="20" spans="2:7" x14ac:dyDescent="0.3">
      <c r="B20" s="20" t="s">
        <v>451</v>
      </c>
      <c r="C20" s="69">
        <v>2997741</v>
      </c>
      <c r="D20" s="20">
        <v>4.9000000000000004</v>
      </c>
      <c r="E20" s="20">
        <v>0</v>
      </c>
      <c r="F20" s="21"/>
      <c r="G20" s="21"/>
    </row>
    <row r="21" spans="2:7" x14ac:dyDescent="0.3">
      <c r="B21" s="20" t="s">
        <v>452</v>
      </c>
      <c r="C21" s="69">
        <v>1844469</v>
      </c>
      <c r="D21" s="20">
        <v>2.6</v>
      </c>
      <c r="E21" s="20">
        <v>8</v>
      </c>
      <c r="F21" s="21"/>
      <c r="G21" s="21"/>
    </row>
  </sheetData>
  <phoneticPr fontId="25"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66DC0-8EE4-45FD-92D9-036CE46695D1}">
  <sheetPr codeName="Sheet3">
    <tabColor rgb="FFFFFF00"/>
  </sheetPr>
  <dimension ref="B2:H14"/>
  <sheetViews>
    <sheetView showGridLines="0" zoomScaleNormal="100" workbookViewId="0"/>
  </sheetViews>
  <sheetFormatPr defaultRowHeight="14.4" x14ac:dyDescent="0.3"/>
  <cols>
    <col min="1" max="1" width="3.33203125" customWidth="1"/>
    <col min="2" max="2" width="27.77734375" customWidth="1"/>
    <col min="3" max="3" width="12.109375" bestFit="1" customWidth="1"/>
    <col min="4" max="4" width="17.77734375" bestFit="1" customWidth="1"/>
    <col min="5" max="5" width="28.88671875" bestFit="1" customWidth="1"/>
    <col min="6" max="6" width="14.44140625" bestFit="1" customWidth="1"/>
    <col min="7" max="7" width="25.6640625" bestFit="1" customWidth="1"/>
    <col min="8" max="8" width="20.33203125" bestFit="1" customWidth="1"/>
  </cols>
  <sheetData>
    <row r="2" spans="2:8" ht="33.6" x14ac:dyDescent="0.65">
      <c r="B2" s="10" t="s">
        <v>11</v>
      </c>
      <c r="C2" s="11" t="s">
        <v>12</v>
      </c>
      <c r="D2" s="11" t="s">
        <v>13</v>
      </c>
      <c r="E2" s="11" t="s">
        <v>14</v>
      </c>
      <c r="F2" s="11" t="s">
        <v>15</v>
      </c>
      <c r="G2" s="11" t="s">
        <v>16</v>
      </c>
      <c r="H2" s="11" t="s">
        <v>17</v>
      </c>
    </row>
    <row r="3" spans="2:8" ht="15.6" x14ac:dyDescent="0.3">
      <c r="B3" s="155" t="s">
        <v>18</v>
      </c>
      <c r="C3" s="12" t="s">
        <v>19</v>
      </c>
      <c r="D3" s="12" t="s">
        <v>20</v>
      </c>
      <c r="E3" s="12" t="s">
        <v>21</v>
      </c>
      <c r="F3" s="12" t="s">
        <v>22</v>
      </c>
      <c r="G3" s="12" t="s">
        <v>23</v>
      </c>
      <c r="H3" s="12" t="s">
        <v>24</v>
      </c>
    </row>
    <row r="4" spans="2:8" ht="15.6" x14ac:dyDescent="0.3">
      <c r="B4" s="155"/>
      <c r="C4" s="12"/>
      <c r="D4" s="12" t="s">
        <v>25</v>
      </c>
      <c r="E4" s="12" t="s">
        <v>26</v>
      </c>
      <c r="F4" s="12" t="s">
        <v>27</v>
      </c>
      <c r="G4" s="12" t="s">
        <v>28</v>
      </c>
      <c r="H4" s="12" t="s">
        <v>29</v>
      </c>
    </row>
    <row r="5" spans="2:8" ht="15.6" x14ac:dyDescent="0.3">
      <c r="B5" s="155"/>
      <c r="C5" s="12"/>
      <c r="D5" s="12" t="s">
        <v>30</v>
      </c>
      <c r="E5" s="12" t="s">
        <v>31</v>
      </c>
      <c r="F5" s="12" t="s">
        <v>32</v>
      </c>
      <c r="G5" s="12" t="s">
        <v>33</v>
      </c>
      <c r="H5" s="12"/>
    </row>
    <row r="6" spans="2:8" ht="15.6" x14ac:dyDescent="0.3">
      <c r="B6" s="155"/>
      <c r="C6" s="12"/>
      <c r="D6" s="12"/>
      <c r="E6" s="12" t="s">
        <v>34</v>
      </c>
      <c r="F6" s="12"/>
      <c r="G6" s="12" t="s">
        <v>35</v>
      </c>
      <c r="H6" s="12"/>
    </row>
    <row r="7" spans="2:8" x14ac:dyDescent="0.3">
      <c r="B7" s="13"/>
      <c r="C7" s="13"/>
      <c r="D7" s="13"/>
      <c r="E7" s="13"/>
      <c r="F7" s="13"/>
      <c r="G7" s="13"/>
      <c r="H7" s="13"/>
    </row>
    <row r="8" spans="2:8" ht="15.6" x14ac:dyDescent="0.3">
      <c r="B8" s="155" t="s">
        <v>36</v>
      </c>
      <c r="C8" s="12" t="str">
        <f>IF(ISBLANK(C3),"",C3&amp;"s "&amp;$C$14)</f>
        <v>equals 2000</v>
      </c>
      <c r="D8" s="12" t="str">
        <f t="shared" ref="D8:H10" si="0">IF(ISBLANK(D3),"",D3&amp;" "&amp;$C$14)</f>
        <v>greater than 2000</v>
      </c>
      <c r="E8" s="12" t="str">
        <f t="shared" si="0"/>
        <v>greater than or equal to 2000</v>
      </c>
      <c r="F8" s="12" t="str">
        <f t="shared" si="0"/>
        <v>less than 2000</v>
      </c>
      <c r="G8" s="12" t="str">
        <f t="shared" si="0"/>
        <v>less than or equal to 2000</v>
      </c>
      <c r="H8" s="12" t="str">
        <f t="shared" si="0"/>
        <v>not 2000</v>
      </c>
    </row>
    <row r="9" spans="2:8" ht="15.6" x14ac:dyDescent="0.3">
      <c r="B9" s="155"/>
      <c r="C9" s="12" t="str">
        <f>IF(ISBLANK(C4),"",C4&amp;"s "&amp;$C$14)</f>
        <v/>
      </c>
      <c r="D9" s="12" t="str">
        <f t="shared" si="0"/>
        <v>more than 2000</v>
      </c>
      <c r="E9" s="12" t="str">
        <f t="shared" si="0"/>
        <v>at least 2000</v>
      </c>
      <c r="F9" s="12" t="str">
        <f t="shared" si="0"/>
        <v>below 2000</v>
      </c>
      <c r="G9" s="12" t="str">
        <f t="shared" si="0"/>
        <v>at most 2000</v>
      </c>
      <c r="H9" s="12" t="str">
        <f t="shared" si="0"/>
        <v>complement of 2000</v>
      </c>
    </row>
    <row r="10" spans="2:8" ht="15.6" x14ac:dyDescent="0.3">
      <c r="B10" s="155"/>
      <c r="C10" s="12" t="str">
        <f>IF(ISBLANK(C5),"",C5&amp;"s "&amp;$C$14)</f>
        <v/>
      </c>
      <c r="D10" s="12" t="str">
        <f t="shared" si="0"/>
        <v>above 2000</v>
      </c>
      <c r="E10" s="12" t="str">
        <f t="shared" si="0"/>
        <v>no less than 2000</v>
      </c>
      <c r="F10" s="12" t="str">
        <f t="shared" si="0"/>
        <v>under 2000</v>
      </c>
      <c r="G10" s="12" t="str">
        <f t="shared" si="0"/>
        <v>no more than 2000</v>
      </c>
      <c r="H10" s="12" t="str">
        <f t="shared" si="0"/>
        <v/>
      </c>
    </row>
    <row r="11" spans="2:8" ht="15.6" x14ac:dyDescent="0.3">
      <c r="B11" s="155"/>
      <c r="C11" s="12" t="str">
        <f>IF(ISBLANK(C6),"",C6&amp;"s "&amp;$C$14)</f>
        <v/>
      </c>
      <c r="D11" s="12" t="str">
        <f>IF(ISBLANK(D6),"",D6&amp;" "&amp;$C$14)</f>
        <v/>
      </c>
      <c r="E11" s="12" t="str">
        <f>$C$14&amp;" "&amp;SUBSTITUTE(E6,"X ","")</f>
        <v>2000 or more</v>
      </c>
      <c r="F11" s="12" t="str">
        <f>IF(ISBLANK(F6),"",F6&amp;" "&amp;$C$14)</f>
        <v/>
      </c>
      <c r="G11" s="12" t="str">
        <f>$C$14&amp;" "&amp;SUBSTITUTE(G6,"X ","")</f>
        <v>2000 or less</v>
      </c>
      <c r="H11" s="12" t="str">
        <f>IF(ISBLANK(H6),"",H6&amp;" "&amp;$C$14)</f>
        <v/>
      </c>
    </row>
    <row r="13" spans="2:8" ht="15.6" x14ac:dyDescent="0.3">
      <c r="C13" s="14" t="s">
        <v>106</v>
      </c>
    </row>
    <row r="14" spans="2:8" ht="15.6" x14ac:dyDescent="0.3">
      <c r="C14" s="15">
        <v>2000</v>
      </c>
    </row>
  </sheetData>
  <mergeCells count="2">
    <mergeCell ref="B3:B6"/>
    <mergeCell ref="B8:B11"/>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D1B0-7DD8-4EE3-9D5F-96489E86FB87}">
  <sheetPr>
    <tabColor rgb="FFFF0000"/>
  </sheetPr>
  <dimension ref="B2:I21"/>
  <sheetViews>
    <sheetView workbookViewId="0"/>
  </sheetViews>
  <sheetFormatPr defaultRowHeight="14.4" x14ac:dyDescent="0.3"/>
  <cols>
    <col min="1" max="1" width="1.88671875" customWidth="1"/>
    <col min="2" max="2" width="11.77734375" customWidth="1"/>
    <col min="3" max="3" width="16.109375" customWidth="1"/>
    <col min="4" max="4" width="14.33203125" customWidth="1"/>
    <col min="5" max="5" width="15.21875" customWidth="1"/>
    <col min="6" max="6" width="14.21875" customWidth="1"/>
    <col min="7" max="7" width="12.21875" customWidth="1"/>
  </cols>
  <sheetData>
    <row r="2" spans="2:9" x14ac:dyDescent="0.3">
      <c r="B2" s="7" t="s">
        <v>293</v>
      </c>
    </row>
    <row r="3" spans="2:9" x14ac:dyDescent="0.3">
      <c r="B3" t="s">
        <v>455</v>
      </c>
    </row>
    <row r="4" spans="2:9" x14ac:dyDescent="0.3">
      <c r="B4" t="str">
        <f>C7&amp;" of more than "&amp;DOLLAR(D7,0)&amp;" AND a '"&amp;C8&amp;"' of "&amp;D8&amp;" or more AND has less than "&amp;D9&amp;" "&amp;C9&amp;"."</f>
        <v>Total Asset Value of more than $2,500,000 AND a 'Credit Rating 1' of 5 or more AND has less than 6 Late Payments.</v>
      </c>
    </row>
    <row r="5" spans="2:9" x14ac:dyDescent="0.3">
      <c r="B5" t="s">
        <v>456</v>
      </c>
    </row>
    <row r="7" spans="2:9" x14ac:dyDescent="0.3">
      <c r="C7" s="17" t="s">
        <v>445</v>
      </c>
      <c r="D7" s="69">
        <v>2500000</v>
      </c>
    </row>
    <row r="8" spans="2:9" x14ac:dyDescent="0.3">
      <c r="C8" s="17" t="s">
        <v>453</v>
      </c>
      <c r="D8" s="20">
        <v>5</v>
      </c>
    </row>
    <row r="9" spans="2:9" x14ac:dyDescent="0.3">
      <c r="C9" s="17" t="s">
        <v>454</v>
      </c>
      <c r="D9" s="20">
        <v>6</v>
      </c>
    </row>
    <row r="11" spans="2:9" x14ac:dyDescent="0.3">
      <c r="B11" s="17" t="s">
        <v>338</v>
      </c>
      <c r="C11" s="17" t="s">
        <v>445</v>
      </c>
      <c r="D11" s="17" t="s">
        <v>453</v>
      </c>
      <c r="E11" s="17" t="s">
        <v>454</v>
      </c>
      <c r="F11" s="17" t="s">
        <v>446</v>
      </c>
      <c r="G11" s="17" t="s">
        <v>446</v>
      </c>
    </row>
    <row r="12" spans="2:9" x14ac:dyDescent="0.3">
      <c r="B12" s="20" t="s">
        <v>447</v>
      </c>
      <c r="C12" s="69">
        <v>3938124</v>
      </c>
      <c r="D12" s="20">
        <v>6.7</v>
      </c>
      <c r="E12" s="20">
        <v>0</v>
      </c>
      <c r="F12" s="21" t="str">
        <f>IF(AND(C12&gt;$D$7,D12&gt;=$D$8,E12&lt;$D$9),"Credit","")</f>
        <v>Credit</v>
      </c>
      <c r="G12" s="21" t="str" cm="1">
        <f t="array" ref="G12:G21">IF((C12:C21&gt;D7)*(D12:D21&gt;=D8)*(E12:E21&lt;D9),"Credit","")</f>
        <v>Credit</v>
      </c>
      <c r="I12" t="str">
        <f ca="1">_xlfn.IFNA(_xlfn.FORMULATEXT(F12),"")</f>
        <v>=IF(AND(C12&gt;$D$7,D12&gt;=$D$8,E12&lt;$D$9),"Credit","")</v>
      </c>
    </row>
    <row r="13" spans="2:9" x14ac:dyDescent="0.3">
      <c r="B13" s="20" t="s">
        <v>341</v>
      </c>
      <c r="C13" s="69">
        <v>2483204</v>
      </c>
      <c r="D13" s="20">
        <v>4</v>
      </c>
      <c r="E13" s="20">
        <v>0</v>
      </c>
      <c r="F13" s="21" t="str">
        <f t="shared" ref="F13:F21" si="0">IF(AND(C13&gt;$D$7,D13&gt;=$D$8,E13&lt;$D$9),"Credit","")</f>
        <v/>
      </c>
      <c r="G13" s="21" t="str">
        <v/>
      </c>
      <c r="I13" t="str">
        <f ca="1">_xlfn.IFNA(_xlfn.FORMULATEXT(G12),"")</f>
        <v>=IF((C12:C21&gt;D7)*(D12:D21&gt;=D8)*(E12:E21&lt;D9),"Credit","")</v>
      </c>
    </row>
    <row r="14" spans="2:9" x14ac:dyDescent="0.3">
      <c r="B14" s="20" t="s">
        <v>340</v>
      </c>
      <c r="C14" s="69">
        <v>2597034</v>
      </c>
      <c r="D14" s="20">
        <v>5.5</v>
      </c>
      <c r="E14" s="20">
        <v>2</v>
      </c>
      <c r="F14" s="21" t="str">
        <f t="shared" si="0"/>
        <v>Credit</v>
      </c>
      <c r="G14" s="21" t="str">
        <v>Credit</v>
      </c>
    </row>
    <row r="15" spans="2:9" x14ac:dyDescent="0.3">
      <c r="B15" s="20" t="s">
        <v>342</v>
      </c>
      <c r="C15" s="69">
        <v>3355395</v>
      </c>
      <c r="D15" s="20">
        <v>6.5</v>
      </c>
      <c r="E15" s="20">
        <v>7</v>
      </c>
      <c r="F15" s="21" t="str">
        <f t="shared" si="0"/>
        <v/>
      </c>
      <c r="G15" s="21" t="str">
        <v/>
      </c>
    </row>
    <row r="16" spans="2:9" x14ac:dyDescent="0.3">
      <c r="B16" s="20" t="s">
        <v>448</v>
      </c>
      <c r="C16" s="69">
        <v>1352078</v>
      </c>
      <c r="D16" s="20">
        <v>2.9</v>
      </c>
      <c r="E16" s="20">
        <v>15</v>
      </c>
      <c r="F16" s="21" t="str">
        <f t="shared" si="0"/>
        <v/>
      </c>
      <c r="G16" s="21" t="str">
        <v/>
      </c>
    </row>
    <row r="17" spans="2:7" x14ac:dyDescent="0.3">
      <c r="B17" s="20" t="s">
        <v>295</v>
      </c>
      <c r="C17" s="69">
        <v>3348247</v>
      </c>
      <c r="D17" s="20">
        <v>5.7</v>
      </c>
      <c r="E17" s="20">
        <v>10</v>
      </c>
      <c r="F17" s="21" t="str">
        <f t="shared" si="0"/>
        <v/>
      </c>
      <c r="G17" s="21" t="str">
        <v/>
      </c>
    </row>
    <row r="18" spans="2:7" x14ac:dyDescent="0.3">
      <c r="B18" s="20" t="s">
        <v>449</v>
      </c>
      <c r="C18" s="69">
        <v>1008822</v>
      </c>
      <c r="D18" s="20">
        <v>1</v>
      </c>
      <c r="E18" s="20">
        <v>22</v>
      </c>
      <c r="F18" s="21" t="str">
        <f t="shared" si="0"/>
        <v/>
      </c>
      <c r="G18" s="21" t="str">
        <v/>
      </c>
    </row>
    <row r="19" spans="2:7" x14ac:dyDescent="0.3">
      <c r="B19" s="20" t="s">
        <v>450</v>
      </c>
      <c r="C19" s="69">
        <v>3088100</v>
      </c>
      <c r="D19" s="20">
        <v>9.8000000000000007</v>
      </c>
      <c r="E19" s="20">
        <v>4</v>
      </c>
      <c r="F19" s="21" t="str">
        <f t="shared" si="0"/>
        <v>Credit</v>
      </c>
      <c r="G19" s="21" t="str">
        <v>Credit</v>
      </c>
    </row>
    <row r="20" spans="2:7" x14ac:dyDescent="0.3">
      <c r="B20" s="20" t="s">
        <v>451</v>
      </c>
      <c r="C20" s="69">
        <v>2997741</v>
      </c>
      <c r="D20" s="20">
        <v>4.9000000000000004</v>
      </c>
      <c r="E20" s="20">
        <v>0</v>
      </c>
      <c r="F20" s="21" t="str">
        <f t="shared" si="0"/>
        <v/>
      </c>
      <c r="G20" s="21" t="str">
        <v/>
      </c>
    </row>
    <row r="21" spans="2:7" x14ac:dyDescent="0.3">
      <c r="B21" s="20" t="s">
        <v>452</v>
      </c>
      <c r="C21" s="69">
        <v>1844469</v>
      </c>
      <c r="D21" s="20">
        <v>2.6</v>
      </c>
      <c r="E21" s="20">
        <v>8</v>
      </c>
      <c r="F21" s="21" t="str">
        <f t="shared" si="0"/>
        <v/>
      </c>
      <c r="G21" s="21" t="str">
        <v/>
      </c>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F1524-BEEC-4794-818B-DB0BC2AFEE26}">
  <sheetPr>
    <tabColor rgb="FF0000FF"/>
  </sheetPr>
  <dimension ref="B2:G21"/>
  <sheetViews>
    <sheetView workbookViewId="0"/>
  </sheetViews>
  <sheetFormatPr defaultRowHeight="14.4" x14ac:dyDescent="0.3"/>
  <cols>
    <col min="1" max="1" width="1.88671875" customWidth="1"/>
    <col min="2" max="2" width="11.77734375" customWidth="1"/>
    <col min="3" max="3" width="16.109375" customWidth="1"/>
    <col min="4" max="4" width="14.33203125" customWidth="1"/>
    <col min="5" max="5" width="15.21875" customWidth="1"/>
    <col min="6" max="6" width="14.21875" customWidth="1"/>
    <col min="7" max="7" width="12.21875" customWidth="1"/>
  </cols>
  <sheetData>
    <row r="2" spans="2:7" x14ac:dyDescent="0.3">
      <c r="B2" s="7" t="s">
        <v>293</v>
      </c>
    </row>
    <row r="3" spans="2:7" x14ac:dyDescent="0.3">
      <c r="B3" t="s">
        <v>460</v>
      </c>
    </row>
    <row r="4" spans="2:7" x14ac:dyDescent="0.3">
      <c r="B4" t="str">
        <f>C7&amp;" of more than "&amp;DOLLAR(D7,0)&amp;" OR a '"&amp;C8&amp;"' of "&amp;D8&amp;" or more OR has less than "&amp;D9&amp;" "&amp;C9&amp;"."</f>
        <v>Total Asset Value of more than $2,500,000 OR a 'Credit Rating 1' of 5 or more OR has less than 6 Late Payments.</v>
      </c>
    </row>
    <row r="5" spans="2:7" x14ac:dyDescent="0.3">
      <c r="B5" t="s">
        <v>457</v>
      </c>
    </row>
    <row r="7" spans="2:7" x14ac:dyDescent="0.3">
      <c r="C7" s="17" t="s">
        <v>445</v>
      </c>
      <c r="D7" s="69">
        <v>2500000</v>
      </c>
    </row>
    <row r="8" spans="2:7" x14ac:dyDescent="0.3">
      <c r="C8" s="17" t="s">
        <v>453</v>
      </c>
      <c r="D8" s="20">
        <v>5</v>
      </c>
    </row>
    <row r="9" spans="2:7" x14ac:dyDescent="0.3">
      <c r="C9" s="17" t="s">
        <v>454</v>
      </c>
      <c r="D9" s="20">
        <v>6</v>
      </c>
    </row>
    <row r="11" spans="2:7" x14ac:dyDescent="0.3">
      <c r="B11" s="17" t="s">
        <v>338</v>
      </c>
      <c r="C11" s="17" t="s">
        <v>445</v>
      </c>
      <c r="D11" s="17" t="s">
        <v>453</v>
      </c>
      <c r="E11" s="17" t="s">
        <v>454</v>
      </c>
      <c r="F11" s="17" t="s">
        <v>446</v>
      </c>
      <c r="G11" s="17" t="s">
        <v>446</v>
      </c>
    </row>
    <row r="12" spans="2:7" x14ac:dyDescent="0.3">
      <c r="B12" s="20" t="s">
        <v>447</v>
      </c>
      <c r="C12" s="69">
        <v>3938124</v>
      </c>
      <c r="D12" s="20">
        <v>6.7</v>
      </c>
      <c r="E12" s="20">
        <v>0</v>
      </c>
      <c r="F12" s="21"/>
      <c r="G12" s="21"/>
    </row>
    <row r="13" spans="2:7" x14ac:dyDescent="0.3">
      <c r="B13" s="20" t="s">
        <v>341</v>
      </c>
      <c r="C13" s="69">
        <v>2483204</v>
      </c>
      <c r="D13" s="20">
        <v>4</v>
      </c>
      <c r="E13" s="20">
        <v>0</v>
      </c>
      <c r="F13" s="21"/>
      <c r="G13" s="21"/>
    </row>
    <row r="14" spans="2:7" x14ac:dyDescent="0.3">
      <c r="B14" s="20" t="s">
        <v>340</v>
      </c>
      <c r="C14" s="69">
        <v>2597034</v>
      </c>
      <c r="D14" s="20">
        <v>5.5</v>
      </c>
      <c r="E14" s="20">
        <v>2</v>
      </c>
      <c r="F14" s="21"/>
      <c r="G14" s="21"/>
    </row>
    <row r="15" spans="2:7" x14ac:dyDescent="0.3">
      <c r="B15" s="20" t="s">
        <v>342</v>
      </c>
      <c r="C15" s="69">
        <v>3355395</v>
      </c>
      <c r="D15" s="20">
        <v>6.5</v>
      </c>
      <c r="E15" s="20">
        <v>7</v>
      </c>
      <c r="F15" s="21"/>
      <c r="G15" s="21"/>
    </row>
    <row r="16" spans="2:7" x14ac:dyDescent="0.3">
      <c r="B16" s="20" t="s">
        <v>448</v>
      </c>
      <c r="C16" s="69">
        <v>1352078</v>
      </c>
      <c r="D16" s="20">
        <v>2.9</v>
      </c>
      <c r="E16" s="20">
        <v>15</v>
      </c>
      <c r="F16" s="21"/>
      <c r="G16" s="21"/>
    </row>
    <row r="17" spans="2:7" x14ac:dyDescent="0.3">
      <c r="B17" s="20" t="s">
        <v>295</v>
      </c>
      <c r="C17" s="69">
        <v>3348247</v>
      </c>
      <c r="D17" s="20">
        <v>5.7</v>
      </c>
      <c r="E17" s="20">
        <v>10</v>
      </c>
      <c r="F17" s="21"/>
      <c r="G17" s="21"/>
    </row>
    <row r="18" spans="2:7" x14ac:dyDescent="0.3">
      <c r="B18" s="20" t="s">
        <v>449</v>
      </c>
      <c r="C18" s="69">
        <v>1008822</v>
      </c>
      <c r="D18" s="20">
        <v>1</v>
      </c>
      <c r="E18" s="20">
        <v>22</v>
      </c>
      <c r="F18" s="21"/>
      <c r="G18" s="21"/>
    </row>
    <row r="19" spans="2:7" x14ac:dyDescent="0.3">
      <c r="B19" s="20" t="s">
        <v>450</v>
      </c>
      <c r="C19" s="69">
        <v>3088100</v>
      </c>
      <c r="D19" s="20">
        <v>9.8000000000000007</v>
      </c>
      <c r="E19" s="20">
        <v>4</v>
      </c>
      <c r="F19" s="21"/>
      <c r="G19" s="21"/>
    </row>
    <row r="20" spans="2:7" x14ac:dyDescent="0.3">
      <c r="B20" s="20" t="s">
        <v>451</v>
      </c>
      <c r="C20" s="69">
        <v>2997741</v>
      </c>
      <c r="D20" s="20">
        <v>4.9000000000000004</v>
      </c>
      <c r="E20" s="20">
        <v>0</v>
      </c>
      <c r="F20" s="21"/>
      <c r="G20" s="21"/>
    </row>
    <row r="21" spans="2:7" x14ac:dyDescent="0.3">
      <c r="B21" s="20" t="s">
        <v>452</v>
      </c>
      <c r="C21" s="69">
        <v>1844469</v>
      </c>
      <c r="D21" s="20">
        <v>2.6</v>
      </c>
      <c r="E21" s="20">
        <v>8</v>
      </c>
      <c r="F21" s="21"/>
      <c r="G21" s="21"/>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944D6-A0E5-48F9-B31B-393E5C43FE3D}">
  <sheetPr>
    <tabColor rgb="FFFF0000"/>
  </sheetPr>
  <dimension ref="B2:I21"/>
  <sheetViews>
    <sheetView workbookViewId="0"/>
  </sheetViews>
  <sheetFormatPr defaultRowHeight="14.4" x14ac:dyDescent="0.3"/>
  <cols>
    <col min="1" max="1" width="1.88671875" customWidth="1"/>
    <col min="2" max="2" width="11.77734375" customWidth="1"/>
    <col min="3" max="3" width="16.109375" customWidth="1"/>
    <col min="4" max="4" width="14.33203125" customWidth="1"/>
    <col min="5" max="5" width="15.21875" customWidth="1"/>
    <col min="6" max="6" width="14.21875" customWidth="1"/>
    <col min="7" max="7" width="12.21875" customWidth="1"/>
  </cols>
  <sheetData>
    <row r="2" spans="2:9" x14ac:dyDescent="0.3">
      <c r="B2" s="7" t="s">
        <v>293</v>
      </c>
    </row>
    <row r="3" spans="2:9" x14ac:dyDescent="0.3">
      <c r="B3" t="s">
        <v>460</v>
      </c>
    </row>
    <row r="4" spans="2:9" x14ac:dyDescent="0.3">
      <c r="B4" t="str">
        <f>C7&amp;" of more than "&amp;DOLLAR(D7,0)&amp;" OR a '"&amp;C8&amp;"' of "&amp;D8&amp;" or more OR has less than "&amp;D9&amp;" "&amp;C9&amp;"."</f>
        <v>Total Asset Value of more than $2,500,000 OR a 'Credit Rating 1' of 5 or more OR has less than 6 Late Payments.</v>
      </c>
    </row>
    <row r="5" spans="2:9" x14ac:dyDescent="0.3">
      <c r="B5" t="s">
        <v>457</v>
      </c>
    </row>
    <row r="7" spans="2:9" x14ac:dyDescent="0.3">
      <c r="C7" s="17" t="s">
        <v>445</v>
      </c>
      <c r="D7" s="69">
        <v>2500000</v>
      </c>
    </row>
    <row r="8" spans="2:9" x14ac:dyDescent="0.3">
      <c r="C8" s="17" t="s">
        <v>453</v>
      </c>
      <c r="D8" s="20">
        <v>5</v>
      </c>
    </row>
    <row r="9" spans="2:9" x14ac:dyDescent="0.3">
      <c r="C9" s="17" t="s">
        <v>454</v>
      </c>
      <c r="D9" s="20">
        <v>6</v>
      </c>
    </row>
    <row r="11" spans="2:9" x14ac:dyDescent="0.3">
      <c r="B11" s="17" t="s">
        <v>338</v>
      </c>
      <c r="C11" s="17" t="s">
        <v>445</v>
      </c>
      <c r="D11" s="17" t="s">
        <v>453</v>
      </c>
      <c r="E11" s="17" t="s">
        <v>454</v>
      </c>
      <c r="F11" s="17" t="s">
        <v>446</v>
      </c>
      <c r="G11" s="17" t="s">
        <v>446</v>
      </c>
    </row>
    <row r="12" spans="2:9" x14ac:dyDescent="0.3">
      <c r="B12" s="20" t="s">
        <v>447</v>
      </c>
      <c r="C12" s="69">
        <v>3938124</v>
      </c>
      <c r="D12" s="20">
        <v>6.7</v>
      </c>
      <c r="E12" s="20">
        <v>0</v>
      </c>
      <c r="F12" s="21" t="str">
        <f>IF(OR(C12&gt;$D$7,D12&gt;=$D$8,E12&lt;$D$9),"Credit","")</f>
        <v>Credit</v>
      </c>
      <c r="G12" s="21" t="str" cm="1">
        <f t="array" ref="G12:G21">IF((C12:C21&gt;D7)+(D12:D21&gt;=D8)+(E12:E21&lt;D9),"Credit","")</f>
        <v>Credit</v>
      </c>
      <c r="I12" t="str" cm="1">
        <f t="array" aca="1" ref="I12:I13" ca="1">_xlfn.TOCOL(_xlfn.FORMULATEXT(F12:G12))</f>
        <v>=IF(OR(C12&gt;$D$7,D12&gt;=$D$8,E12&lt;$D$9),"Credit","")</v>
      </c>
    </row>
    <row r="13" spans="2:9" x14ac:dyDescent="0.3">
      <c r="B13" s="20" t="s">
        <v>341</v>
      </c>
      <c r="C13" s="69">
        <v>2483204</v>
      </c>
      <c r="D13" s="20">
        <v>4</v>
      </c>
      <c r="E13" s="20">
        <v>0</v>
      </c>
      <c r="F13" s="21" t="str">
        <f t="shared" ref="F13:F21" si="0">IF(OR(C13&gt;$D$7,D13&gt;=$D$8,E13&lt;$D$9),"Credit","")</f>
        <v>Credit</v>
      </c>
      <c r="G13" s="21" t="str">
        <v>Credit</v>
      </c>
      <c r="I13" t="str">
        <f ca="1"/>
        <v>=IF((C12:C21&gt;D7)+(D12:D21&gt;=D8)+(E12:E21&lt;D9),"Credit","")</v>
      </c>
    </row>
    <row r="14" spans="2:9" x14ac:dyDescent="0.3">
      <c r="B14" s="20" t="s">
        <v>340</v>
      </c>
      <c r="C14" s="69">
        <v>2597034</v>
      </c>
      <c r="D14" s="20">
        <v>5.5</v>
      </c>
      <c r="E14" s="20">
        <v>2</v>
      </c>
      <c r="F14" s="21" t="str">
        <f t="shared" si="0"/>
        <v>Credit</v>
      </c>
      <c r="G14" s="21" t="str">
        <v>Credit</v>
      </c>
    </row>
    <row r="15" spans="2:9" x14ac:dyDescent="0.3">
      <c r="B15" s="20" t="s">
        <v>342</v>
      </c>
      <c r="C15" s="69">
        <v>3355395</v>
      </c>
      <c r="D15" s="20">
        <v>6.5</v>
      </c>
      <c r="E15" s="20">
        <v>7</v>
      </c>
      <c r="F15" s="21" t="str">
        <f t="shared" si="0"/>
        <v>Credit</v>
      </c>
      <c r="G15" s="21" t="str">
        <v>Credit</v>
      </c>
    </row>
    <row r="16" spans="2:9" x14ac:dyDescent="0.3">
      <c r="B16" s="20" t="s">
        <v>448</v>
      </c>
      <c r="C16" s="69">
        <v>1352078</v>
      </c>
      <c r="D16" s="20">
        <v>2.9</v>
      </c>
      <c r="E16" s="20">
        <v>15</v>
      </c>
      <c r="F16" s="21" t="str">
        <f t="shared" si="0"/>
        <v/>
      </c>
      <c r="G16" s="21" t="str">
        <v/>
      </c>
    </row>
    <row r="17" spans="2:7" x14ac:dyDescent="0.3">
      <c r="B17" s="20" t="s">
        <v>295</v>
      </c>
      <c r="C17" s="69">
        <v>3348247</v>
      </c>
      <c r="D17" s="20">
        <v>5.7</v>
      </c>
      <c r="E17" s="20">
        <v>10</v>
      </c>
      <c r="F17" s="21" t="str">
        <f t="shared" si="0"/>
        <v>Credit</v>
      </c>
      <c r="G17" s="21" t="str">
        <v>Credit</v>
      </c>
    </row>
    <row r="18" spans="2:7" x14ac:dyDescent="0.3">
      <c r="B18" s="20" t="s">
        <v>449</v>
      </c>
      <c r="C18" s="69">
        <v>1008822</v>
      </c>
      <c r="D18" s="20">
        <v>1</v>
      </c>
      <c r="E18" s="20">
        <v>22</v>
      </c>
      <c r="F18" s="21" t="str">
        <f t="shared" si="0"/>
        <v/>
      </c>
      <c r="G18" s="21" t="str">
        <v/>
      </c>
    </row>
    <row r="19" spans="2:7" x14ac:dyDescent="0.3">
      <c r="B19" s="20" t="s">
        <v>450</v>
      </c>
      <c r="C19" s="69">
        <v>3088100</v>
      </c>
      <c r="D19" s="20">
        <v>9.8000000000000007</v>
      </c>
      <c r="E19" s="20">
        <v>4</v>
      </c>
      <c r="F19" s="21" t="str">
        <f t="shared" si="0"/>
        <v>Credit</v>
      </c>
      <c r="G19" s="21" t="str">
        <v>Credit</v>
      </c>
    </row>
    <row r="20" spans="2:7" x14ac:dyDescent="0.3">
      <c r="B20" s="20" t="s">
        <v>451</v>
      </c>
      <c r="C20" s="69">
        <v>2997741</v>
      </c>
      <c r="D20" s="20">
        <v>4.9000000000000004</v>
      </c>
      <c r="E20" s="20">
        <v>0</v>
      </c>
      <c r="F20" s="21" t="str">
        <f t="shared" si="0"/>
        <v>Credit</v>
      </c>
      <c r="G20" s="21" t="str">
        <v>Credit</v>
      </c>
    </row>
    <row r="21" spans="2:7" x14ac:dyDescent="0.3">
      <c r="B21" s="20" t="s">
        <v>452</v>
      </c>
      <c r="C21" s="69">
        <v>1844469</v>
      </c>
      <c r="D21" s="20">
        <v>2.6</v>
      </c>
      <c r="E21" s="20">
        <v>8</v>
      </c>
      <c r="F21" s="21" t="str">
        <f t="shared" si="0"/>
        <v/>
      </c>
      <c r="G21" s="21" t="str">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DB0CD-6339-4C4A-AF95-EE408C2BE3B0}">
  <sheetPr codeName="Sheet4">
    <tabColor rgb="FFFFFF00"/>
  </sheetPr>
  <dimension ref="B2:H14"/>
  <sheetViews>
    <sheetView zoomScale="130" zoomScaleNormal="130" workbookViewId="0"/>
  </sheetViews>
  <sheetFormatPr defaultRowHeight="14.4" x14ac:dyDescent="0.3"/>
  <cols>
    <col min="1" max="1" width="3" customWidth="1"/>
    <col min="2" max="2" width="11.5546875" customWidth="1"/>
    <col min="3" max="3" width="32" bestFit="1" customWidth="1"/>
    <col min="4" max="4" width="3.21875" customWidth="1"/>
    <col min="5" max="5" width="12.88671875" customWidth="1"/>
    <col min="7" max="7" width="10.77734375" customWidth="1"/>
    <col min="8" max="8" width="16.88671875" bestFit="1" customWidth="1"/>
  </cols>
  <sheetData>
    <row r="2" spans="2:8" ht="28.8" x14ac:dyDescent="0.3">
      <c r="B2" s="16" t="s">
        <v>37</v>
      </c>
      <c r="C2" s="16" t="s">
        <v>38</v>
      </c>
      <c r="E2" s="16" t="str">
        <f>"What's in "&amp;LEFT(ADDRESS(ROW(F2),COLUMN(F2),4))&amp;" Column?"</f>
        <v>What's in F Column?</v>
      </c>
      <c r="F2" s="17" t="s">
        <v>39</v>
      </c>
      <c r="G2" s="16" t="s">
        <v>40</v>
      </c>
      <c r="H2" s="17" t="s">
        <v>41</v>
      </c>
    </row>
    <row r="3" spans="2:8" x14ac:dyDescent="0.3">
      <c r="B3" s="18" t="s">
        <v>42</v>
      </c>
      <c r="C3" s="18" t="s">
        <v>43</v>
      </c>
      <c r="E3" s="19">
        <f t="shared" ref="E3:E10" si="0">F3</f>
        <v>43</v>
      </c>
      <c r="F3" s="20">
        <v>43</v>
      </c>
      <c r="G3" s="21" t="b">
        <f>ISNUMBER(F3)</f>
        <v>1</v>
      </c>
      <c r="H3" s="20" t="str">
        <f ca="1">IF(_xlfn.ISFORMULA(G3),_xlfn.FORMULATEXT(G3),"")</f>
        <v>=ISNUMBER(F3)</v>
      </c>
    </row>
    <row r="4" spans="2:8" x14ac:dyDescent="0.3">
      <c r="B4" s="18" t="s">
        <v>44</v>
      </c>
      <c r="C4" s="18" t="s">
        <v>45</v>
      </c>
      <c r="E4" s="19">
        <f t="shared" si="0"/>
        <v>43</v>
      </c>
      <c r="F4" s="20">
        <v>43</v>
      </c>
      <c r="G4" s="21" t="b">
        <f>ISTEXT(F4)</f>
        <v>0</v>
      </c>
      <c r="H4" s="20" t="str">
        <f t="shared" ref="H4:H14" ca="1" si="1">IF(_xlfn.ISFORMULA(G4),_xlfn.FORMULATEXT(G4),"")</f>
        <v>=ISTEXT(F4)</v>
      </c>
    </row>
    <row r="5" spans="2:8" x14ac:dyDescent="0.3">
      <c r="B5" s="18" t="s">
        <v>46</v>
      </c>
      <c r="C5" s="18" t="s">
        <v>47</v>
      </c>
      <c r="E5" s="19">
        <f t="shared" si="0"/>
        <v>43</v>
      </c>
      <c r="F5" s="20">
        <v>43</v>
      </c>
      <c r="G5" s="21" t="b">
        <f>ISBLANK(F5)</f>
        <v>0</v>
      </c>
      <c r="H5" s="20" t="str">
        <f t="shared" ca="1" si="1"/>
        <v>=ISBLANK(F5)</v>
      </c>
    </row>
    <row r="6" spans="2:8" x14ac:dyDescent="0.3">
      <c r="B6" s="18" t="s">
        <v>48</v>
      </c>
      <c r="C6" s="18" t="s">
        <v>49</v>
      </c>
      <c r="E6" s="19" t="e">
        <f>F6</f>
        <v>#N/A</v>
      </c>
      <c r="F6" s="20" t="e">
        <v>#N/A</v>
      </c>
      <c r="G6" s="21" t="b">
        <f>ISNA(F6)</f>
        <v>1</v>
      </c>
      <c r="H6" s="20" t="str">
        <f ca="1">IF(_xlfn.ISFORMULA(G6),_xlfn.FORMULATEXT(G6),"")</f>
        <v>=ISNA(F6)</v>
      </c>
    </row>
    <row r="7" spans="2:8" x14ac:dyDescent="0.3">
      <c r="B7" s="18" t="s">
        <v>50</v>
      </c>
      <c r="C7" s="18" t="s">
        <v>51</v>
      </c>
      <c r="E7" s="19" t="e">
        <f>F7</f>
        <v>#DIV/0!</v>
      </c>
      <c r="F7" s="20" t="e">
        <f>1/0</f>
        <v>#DIV/0!</v>
      </c>
      <c r="G7" s="21" t="b">
        <f>ISERR(F7)</f>
        <v>1</v>
      </c>
      <c r="H7" s="20" t="str">
        <f ca="1">IF(_xlfn.ISFORMULA(G7),_xlfn.FORMULATEXT(G7),"")</f>
        <v>=ISERR(F7)</v>
      </c>
    </row>
    <row r="8" spans="2:8" ht="43.2" x14ac:dyDescent="0.3">
      <c r="B8" s="18" t="s">
        <v>52</v>
      </c>
      <c r="C8" s="22" t="s">
        <v>53</v>
      </c>
      <c r="E8" s="19" t="e">
        <f t="shared" si="0"/>
        <v>#N/A</v>
      </c>
      <c r="F8" s="20" t="e">
        <v>#N/A</v>
      </c>
      <c r="G8" s="21" t="b">
        <f>ISERROR(F8)</f>
        <v>1</v>
      </c>
      <c r="H8" s="20" t="str">
        <f t="shared" ca="1" si="1"/>
        <v>=ISERROR(F8)</v>
      </c>
    </row>
    <row r="9" spans="2:8" x14ac:dyDescent="0.3">
      <c r="B9" s="18" t="s">
        <v>54</v>
      </c>
      <c r="C9" s="18" t="s">
        <v>55</v>
      </c>
      <c r="E9" s="19" t="b">
        <f t="shared" si="0"/>
        <v>1</v>
      </c>
      <c r="F9" s="20" t="b">
        <v>1</v>
      </c>
      <c r="G9" s="21" t="b">
        <f>ISNONTEXT(F9)</f>
        <v>1</v>
      </c>
      <c r="H9" s="20" t="str">
        <f t="shared" ca="1" si="1"/>
        <v>=ISNONTEXT(F9)</v>
      </c>
    </row>
    <row r="10" spans="2:8" x14ac:dyDescent="0.3">
      <c r="B10" s="18" t="s">
        <v>56</v>
      </c>
      <c r="C10" s="18" t="s">
        <v>57</v>
      </c>
      <c r="E10" s="19" t="b">
        <f t="shared" si="0"/>
        <v>1</v>
      </c>
      <c r="F10" s="20" t="b">
        <v>1</v>
      </c>
      <c r="G10" s="21" t="b">
        <f>ISLOGICAL(F10)</f>
        <v>1</v>
      </c>
      <c r="H10" s="20" t="str">
        <f t="shared" ca="1" si="1"/>
        <v>=ISLOGICAL(F10)</v>
      </c>
    </row>
    <row r="11" spans="2:8" x14ac:dyDescent="0.3">
      <c r="B11" s="18" t="s">
        <v>58</v>
      </c>
      <c r="C11" s="18" t="s">
        <v>59</v>
      </c>
      <c r="E11" s="19" t="str">
        <f ca="1">_xlfn.FORMULATEXT(F11)</f>
        <v>=SUM({1,2,3})</v>
      </c>
      <c r="F11" s="20">
        <f>SUM({1,2,3})</f>
        <v>6</v>
      </c>
      <c r="G11" s="21" t="b">
        <f>_xlfn.ISFORMULA(F11)</f>
        <v>1</v>
      </c>
      <c r="H11" s="20" t="str">
        <f t="shared" ca="1" si="1"/>
        <v>=ISFORMULA(F11)</v>
      </c>
    </row>
    <row r="12" spans="2:8" x14ac:dyDescent="0.3">
      <c r="B12" s="18" t="s">
        <v>60</v>
      </c>
      <c r="C12" s="18" t="s">
        <v>61</v>
      </c>
      <c r="E12" s="19" t="str">
        <f ca="1">_xlfn.FORMULATEXT(F12)</f>
        <v>=F11</v>
      </c>
      <c r="F12" s="20">
        <f>F11</f>
        <v>6</v>
      </c>
      <c r="G12" s="21" t="b">
        <f>ISREF(F12)</f>
        <v>1</v>
      </c>
      <c r="H12" s="20" t="str">
        <f ca="1">IF(_xlfn.ISFORMULA(G12),_xlfn.FORMULATEXT(G12),"")</f>
        <v>=ISREF(F12)</v>
      </c>
    </row>
    <row r="13" spans="2:8" x14ac:dyDescent="0.3">
      <c r="B13" s="18" t="s">
        <v>62</v>
      </c>
      <c r="C13" s="18" t="s">
        <v>63</v>
      </c>
      <c r="E13" s="19">
        <f t="shared" ref="E13:E14" si="2">F13</f>
        <v>43</v>
      </c>
      <c r="F13" s="20">
        <v>43</v>
      </c>
      <c r="G13" s="21" t="b">
        <f>ISEVEN(F13)</f>
        <v>0</v>
      </c>
      <c r="H13" s="20" t="str">
        <f t="shared" ca="1" si="1"/>
        <v>=ISEVEN(F13)</v>
      </c>
    </row>
    <row r="14" spans="2:8" x14ac:dyDescent="0.3">
      <c r="B14" s="20" t="s">
        <v>64</v>
      </c>
      <c r="C14" s="18" t="s">
        <v>65</v>
      </c>
      <c r="E14" s="19">
        <f t="shared" si="2"/>
        <v>43</v>
      </c>
      <c r="F14" s="20">
        <v>43</v>
      </c>
      <c r="G14" s="21" t="b">
        <f>ISODD(F14)</f>
        <v>1</v>
      </c>
      <c r="H14" s="20" t="str">
        <f t="shared" ca="1" si="1"/>
        <v>=ISODD(F14)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998DB-15A4-4D25-9B6C-A8BF979606A4}">
  <sheetPr codeName="Sheet5">
    <tabColor rgb="FFFFFF00"/>
  </sheetPr>
  <dimension ref="B1:D24"/>
  <sheetViews>
    <sheetView showGridLines="0" zoomScale="115" zoomScaleNormal="115" workbookViewId="0"/>
  </sheetViews>
  <sheetFormatPr defaultColWidth="8.88671875" defaultRowHeight="14.4" x14ac:dyDescent="0.3"/>
  <cols>
    <col min="1" max="1" width="5.33203125" customWidth="1"/>
    <col min="2" max="2" width="0.77734375" customWidth="1"/>
    <col min="3" max="3" width="61.21875" customWidth="1"/>
    <col min="4" max="4" width="1.44140625" customWidth="1"/>
  </cols>
  <sheetData>
    <row r="1" spans="2:4" ht="9" customHeight="1" x14ac:dyDescent="0.3"/>
    <row r="2" spans="2:4" ht="9.6" customHeight="1" x14ac:dyDescent="0.3">
      <c r="B2" s="6"/>
      <c r="C2" s="5"/>
      <c r="D2" s="4"/>
    </row>
    <row r="3" spans="2:4" x14ac:dyDescent="0.3">
      <c r="B3" s="2"/>
      <c r="D3" s="1"/>
    </row>
    <row r="4" spans="2:4" x14ac:dyDescent="0.3">
      <c r="B4" s="2"/>
      <c r="D4" s="1"/>
    </row>
    <row r="5" spans="2:4" ht="15" thickBot="1" x14ac:dyDescent="0.35">
      <c r="B5" s="2"/>
      <c r="D5" s="1"/>
    </row>
    <row r="6" spans="2:4" ht="21.6" thickBot="1" x14ac:dyDescent="0.35">
      <c r="B6" s="2"/>
      <c r="C6" s="3" t="s">
        <v>66</v>
      </c>
      <c r="D6" s="1"/>
    </row>
    <row r="7" spans="2:4" x14ac:dyDescent="0.3">
      <c r="B7" s="143" t="s">
        <v>68</v>
      </c>
      <c r="C7" s="144"/>
      <c r="D7" s="145"/>
    </row>
    <row r="8" spans="2:4" ht="21" customHeight="1" x14ac:dyDescent="0.3">
      <c r="B8" s="146"/>
      <c r="C8" s="147"/>
      <c r="D8" s="148"/>
    </row>
    <row r="9" spans="2:4" ht="10.95" customHeight="1" x14ac:dyDescent="0.3"/>
    <row r="10" spans="2:4" ht="9.6" customHeight="1" x14ac:dyDescent="0.3">
      <c r="B10" s="6"/>
      <c r="C10" s="5"/>
      <c r="D10" s="4"/>
    </row>
    <row r="11" spans="2:4" x14ac:dyDescent="0.3">
      <c r="B11" s="2"/>
      <c r="D11" s="1"/>
    </row>
    <row r="12" spans="2:4" x14ac:dyDescent="0.3">
      <c r="B12" s="2"/>
      <c r="D12" s="1"/>
    </row>
    <row r="13" spans="2:4" ht="15" thickBot="1" x14ac:dyDescent="0.35">
      <c r="B13" s="2"/>
      <c r="D13" s="1"/>
    </row>
    <row r="14" spans="2:4" ht="21.6" thickBot="1" x14ac:dyDescent="0.35">
      <c r="B14" s="2"/>
      <c r="C14" s="3" t="s">
        <v>67</v>
      </c>
      <c r="D14" s="1"/>
    </row>
    <row r="15" spans="2:4" x14ac:dyDescent="0.3">
      <c r="B15" s="143" t="s">
        <v>69</v>
      </c>
      <c r="C15" s="144"/>
      <c r="D15" s="145"/>
    </row>
    <row r="16" spans="2:4" x14ac:dyDescent="0.3">
      <c r="B16" s="146"/>
      <c r="C16" s="147"/>
      <c r="D16" s="148"/>
    </row>
    <row r="18" spans="2:4" ht="9.6" customHeight="1" x14ac:dyDescent="0.3">
      <c r="B18" s="6"/>
      <c r="C18" s="5"/>
      <c r="D18" s="4"/>
    </row>
    <row r="19" spans="2:4" x14ac:dyDescent="0.3">
      <c r="B19" s="2"/>
      <c r="D19" s="1"/>
    </row>
    <row r="20" spans="2:4" x14ac:dyDescent="0.3">
      <c r="B20" s="2"/>
      <c r="D20" s="1"/>
    </row>
    <row r="21" spans="2:4" ht="15" thickBot="1" x14ac:dyDescent="0.35">
      <c r="B21" s="2"/>
      <c r="D21" s="1"/>
    </row>
    <row r="22" spans="2:4" ht="21.6" thickBot="1" x14ac:dyDescent="0.35">
      <c r="B22" s="2"/>
      <c r="C22" s="3" t="s">
        <v>70</v>
      </c>
      <c r="D22" s="1"/>
    </row>
    <row r="23" spans="2:4" x14ac:dyDescent="0.3">
      <c r="B23" s="143" t="s">
        <v>71</v>
      </c>
      <c r="C23" s="144"/>
      <c r="D23" s="145"/>
    </row>
    <row r="24" spans="2:4" x14ac:dyDescent="0.3">
      <c r="B24" s="146"/>
      <c r="C24" s="147"/>
      <c r="D24" s="148"/>
    </row>
  </sheetData>
  <mergeCells count="3">
    <mergeCell ref="B7:D8"/>
    <mergeCell ref="B15:D16"/>
    <mergeCell ref="B23:D2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71C58-DBDD-41E3-A01F-CED04169E7EF}">
  <sheetPr>
    <tabColor rgb="FFFFFF00"/>
  </sheetPr>
  <dimension ref="B1:D26"/>
  <sheetViews>
    <sheetView showGridLines="0" zoomScale="145" zoomScaleNormal="145" workbookViewId="0"/>
  </sheetViews>
  <sheetFormatPr defaultColWidth="8.88671875" defaultRowHeight="14.4" x14ac:dyDescent="0.3"/>
  <cols>
    <col min="1" max="1" width="5.33203125" customWidth="1"/>
    <col min="2" max="2" width="0.77734375" customWidth="1"/>
    <col min="3" max="3" width="61.21875" customWidth="1"/>
    <col min="4" max="4" width="1.44140625" customWidth="1"/>
  </cols>
  <sheetData>
    <row r="1" spans="2:4" ht="9" customHeight="1" x14ac:dyDescent="0.3"/>
    <row r="2" spans="2:4" ht="9.6" customHeight="1" x14ac:dyDescent="0.3">
      <c r="B2" s="6"/>
      <c r="C2" s="5"/>
      <c r="D2" s="4"/>
    </row>
    <row r="3" spans="2:4" x14ac:dyDescent="0.3">
      <c r="B3" s="2"/>
      <c r="D3" s="1"/>
    </row>
    <row r="4" spans="2:4" x14ac:dyDescent="0.3">
      <c r="B4" s="2"/>
      <c r="D4" s="1"/>
    </row>
    <row r="5" spans="2:4" ht="15" thickBot="1" x14ac:dyDescent="0.35">
      <c r="B5" s="2"/>
      <c r="D5" s="1"/>
    </row>
    <row r="6" spans="2:4" ht="21.6" thickBot="1" x14ac:dyDescent="0.35">
      <c r="B6" s="2"/>
      <c r="C6" s="3" t="s">
        <v>462</v>
      </c>
      <c r="D6" s="1"/>
    </row>
    <row r="7" spans="2:4" x14ac:dyDescent="0.3">
      <c r="B7" s="156" t="s">
        <v>463</v>
      </c>
      <c r="C7" s="144"/>
      <c r="D7" s="145"/>
    </row>
    <row r="8" spans="2:4" ht="21" customHeight="1" x14ac:dyDescent="0.3">
      <c r="B8" s="146"/>
      <c r="C8" s="147"/>
      <c r="D8" s="148"/>
    </row>
    <row r="9" spans="2:4" ht="10.95" customHeight="1" x14ac:dyDescent="0.3"/>
    <row r="10" spans="2:4" ht="9.6" customHeight="1" x14ac:dyDescent="0.3"/>
    <row r="11" spans="2:4" ht="9.6" customHeight="1" x14ac:dyDescent="0.3">
      <c r="B11" s="6"/>
      <c r="C11" s="5"/>
      <c r="D11" s="4"/>
    </row>
    <row r="12" spans="2:4" x14ac:dyDescent="0.3">
      <c r="B12" s="2"/>
      <c r="D12" s="1"/>
    </row>
    <row r="13" spans="2:4" x14ac:dyDescent="0.3">
      <c r="B13" s="2"/>
      <c r="D13" s="1"/>
    </row>
    <row r="14" spans="2:4" ht="15" thickBot="1" x14ac:dyDescent="0.35">
      <c r="B14" s="2"/>
      <c r="D14" s="1"/>
    </row>
    <row r="15" spans="2:4" ht="21.6" thickBot="1" x14ac:dyDescent="0.35">
      <c r="B15" s="2"/>
      <c r="C15" s="3" t="s">
        <v>464</v>
      </c>
      <c r="D15" s="1"/>
    </row>
    <row r="16" spans="2:4" x14ac:dyDescent="0.3">
      <c r="B16" s="156" t="s">
        <v>463</v>
      </c>
      <c r="C16" s="144"/>
      <c r="D16" s="145"/>
    </row>
    <row r="17" spans="2:4" ht="21" customHeight="1" x14ac:dyDescent="0.3">
      <c r="B17" s="146"/>
      <c r="C17" s="147"/>
      <c r="D17" s="148"/>
    </row>
    <row r="18" spans="2:4" ht="10.95" customHeight="1" x14ac:dyDescent="0.3"/>
    <row r="26" spans="2:4" ht="9.6" customHeight="1" x14ac:dyDescent="0.3"/>
  </sheetData>
  <mergeCells count="2">
    <mergeCell ref="B7:D8"/>
    <mergeCell ref="B16:D1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DCE60-D504-4FFC-9105-D2CACB136F5C}">
  <sheetPr codeName="Sheet6">
    <tabColor rgb="FFFFFF00"/>
  </sheetPr>
  <dimension ref="B1:K29"/>
  <sheetViews>
    <sheetView showGridLines="0" zoomScale="115" zoomScaleNormal="115" workbookViewId="0"/>
  </sheetViews>
  <sheetFormatPr defaultRowHeight="14.4" x14ac:dyDescent="0.3"/>
  <cols>
    <col min="1" max="1" width="2.33203125" customWidth="1"/>
    <col min="2" max="2" width="15.6640625" customWidth="1"/>
    <col min="3" max="3" width="13.44140625" customWidth="1"/>
    <col min="4" max="4" width="10.5546875" customWidth="1"/>
    <col min="5" max="5" width="3.109375" customWidth="1"/>
    <col min="6" max="6" width="22.33203125" customWidth="1"/>
    <col min="7" max="7" width="16.33203125" customWidth="1"/>
    <col min="8" max="8" width="3.109375" customWidth="1"/>
    <col min="9" max="9" width="2.6640625" customWidth="1"/>
    <col min="10" max="10" width="17.44140625" customWidth="1"/>
    <col min="11" max="11" width="11.6640625" customWidth="1"/>
    <col min="17" max="17" width="3.109375" customWidth="1"/>
    <col min="18" max="18" width="33.5546875" bestFit="1" customWidth="1"/>
    <col min="19" max="19" width="1.44140625" customWidth="1"/>
    <col min="20" max="20" width="6.109375" customWidth="1"/>
    <col min="21" max="21" width="79.21875" bestFit="1" customWidth="1"/>
  </cols>
  <sheetData>
    <row r="1" spans="2:11" ht="4.95" customHeight="1" thickBot="1" x14ac:dyDescent="0.35"/>
    <row r="2" spans="2:11" x14ac:dyDescent="0.3">
      <c r="B2" s="23" t="s">
        <v>86</v>
      </c>
      <c r="C2" s="24"/>
      <c r="D2" s="24"/>
      <c r="E2" s="24"/>
      <c r="F2" s="24"/>
      <c r="G2" s="24"/>
      <c r="H2" s="24"/>
      <c r="I2" s="25"/>
    </row>
    <row r="3" spans="2:11" x14ac:dyDescent="0.3">
      <c r="B3" s="26" t="s">
        <v>87</v>
      </c>
      <c r="I3" s="27"/>
    </row>
    <row r="4" spans="2:11" ht="3.6" customHeight="1" x14ac:dyDescent="0.3">
      <c r="B4" s="26"/>
      <c r="I4" s="27"/>
    </row>
    <row r="5" spans="2:11" x14ac:dyDescent="0.3">
      <c r="B5" s="26" t="s">
        <v>88</v>
      </c>
      <c r="I5" s="27"/>
      <c r="K5" s="28"/>
    </row>
    <row r="6" spans="2:11" x14ac:dyDescent="0.3">
      <c r="B6" s="26" t="s">
        <v>89</v>
      </c>
      <c r="I6" s="27"/>
      <c r="K6" s="28"/>
    </row>
    <row r="7" spans="2:11" x14ac:dyDescent="0.3">
      <c r="B7" s="26" t="s">
        <v>90</v>
      </c>
      <c r="I7" s="27"/>
      <c r="K7" s="28"/>
    </row>
    <row r="8" spans="2:11" ht="3.6" customHeight="1" x14ac:dyDescent="0.3">
      <c r="B8" s="26"/>
      <c r="I8" s="27"/>
      <c r="K8" s="28"/>
    </row>
    <row r="9" spans="2:11" ht="21" x14ac:dyDescent="0.4">
      <c r="B9" s="29" t="s">
        <v>91</v>
      </c>
      <c r="C9" s="30"/>
      <c r="D9" s="30"/>
      <c r="E9" s="30"/>
      <c r="F9" s="30"/>
      <c r="G9" s="30"/>
      <c r="H9" s="30"/>
      <c r="I9" s="31"/>
      <c r="K9" s="28"/>
    </row>
    <row r="10" spans="2:11" x14ac:dyDescent="0.3">
      <c r="B10" s="39" t="s">
        <v>108</v>
      </c>
      <c r="C10" s="40"/>
      <c r="D10" s="40"/>
      <c r="E10" s="40"/>
      <c r="F10" s="40"/>
      <c r="G10" s="40"/>
      <c r="H10" s="40"/>
      <c r="I10" s="41"/>
      <c r="K10" s="28"/>
    </row>
    <row r="11" spans="2:11" x14ac:dyDescent="0.3">
      <c r="B11" s="32" t="s">
        <v>107</v>
      </c>
      <c r="C11" s="33"/>
      <c r="D11" s="33"/>
      <c r="E11" s="33"/>
      <c r="F11" s="33"/>
      <c r="G11" s="33"/>
      <c r="H11" s="33"/>
      <c r="I11" s="34"/>
      <c r="K11" s="28"/>
    </row>
    <row r="12" spans="2:11" ht="5.4" customHeight="1" x14ac:dyDescent="0.3">
      <c r="B12" s="26"/>
      <c r="I12" s="27"/>
      <c r="K12" s="28"/>
    </row>
    <row r="13" spans="2:11" x14ac:dyDescent="0.3">
      <c r="B13" s="35" t="s">
        <v>92</v>
      </c>
      <c r="I13" s="27"/>
      <c r="K13" s="28"/>
    </row>
    <row r="14" spans="2:11" x14ac:dyDescent="0.3">
      <c r="B14" s="26" t="s">
        <v>93</v>
      </c>
      <c r="I14" s="27"/>
      <c r="K14" s="28"/>
    </row>
    <row r="15" spans="2:11" x14ac:dyDescent="0.3">
      <c r="B15" s="26" t="s">
        <v>94</v>
      </c>
      <c r="I15" s="27"/>
    </row>
    <row r="16" spans="2:11" x14ac:dyDescent="0.3">
      <c r="B16" s="26" t="s">
        <v>95</v>
      </c>
      <c r="I16" s="27"/>
    </row>
    <row r="17" spans="2:9" ht="15" thickBot="1" x14ac:dyDescent="0.35">
      <c r="B17" s="36" t="s">
        <v>96</v>
      </c>
      <c r="C17" s="37"/>
      <c r="D17" s="37"/>
      <c r="E17" s="37"/>
      <c r="F17" s="37"/>
      <c r="G17" s="37"/>
      <c r="H17" s="37"/>
      <c r="I17" s="38"/>
    </row>
    <row r="18" spans="2:9" x14ac:dyDescent="0.3">
      <c r="B18" s="23" t="s">
        <v>97</v>
      </c>
      <c r="C18" s="24"/>
      <c r="D18" s="24"/>
      <c r="E18" s="24"/>
      <c r="F18" s="24"/>
      <c r="G18" s="24"/>
      <c r="H18" s="24"/>
      <c r="I18" s="25"/>
    </row>
    <row r="19" spans="2:9" x14ac:dyDescent="0.3">
      <c r="B19" s="26" t="s">
        <v>98</v>
      </c>
      <c r="I19" s="27"/>
    </row>
    <row r="20" spans="2:9" ht="5.4" customHeight="1" x14ac:dyDescent="0.3">
      <c r="B20" s="26"/>
      <c r="I20" s="27"/>
    </row>
    <row r="21" spans="2:9" ht="21" x14ac:dyDescent="0.4">
      <c r="B21" s="29" t="s">
        <v>99</v>
      </c>
      <c r="C21" s="30"/>
      <c r="D21" s="30"/>
      <c r="E21" s="30"/>
      <c r="F21" s="30"/>
      <c r="G21" s="30"/>
      <c r="H21" s="30"/>
      <c r="I21" s="31"/>
    </row>
    <row r="22" spans="2:9" x14ac:dyDescent="0.3">
      <c r="B22" s="39" t="s">
        <v>100</v>
      </c>
      <c r="C22" s="40"/>
      <c r="D22" s="40"/>
      <c r="E22" s="40"/>
      <c r="F22" s="40"/>
      <c r="G22" s="40"/>
      <c r="H22" s="40"/>
      <c r="I22" s="41"/>
    </row>
    <row r="23" spans="2:9" x14ac:dyDescent="0.3">
      <c r="B23" s="32" t="s">
        <v>373</v>
      </c>
      <c r="C23" s="33"/>
      <c r="D23" s="33"/>
      <c r="E23" s="33"/>
      <c r="F23" s="33"/>
      <c r="G23" s="33"/>
      <c r="H23" s="33"/>
      <c r="I23" s="34"/>
    </row>
    <row r="24" spans="2:9" ht="5.4" customHeight="1" x14ac:dyDescent="0.3">
      <c r="B24" s="26"/>
      <c r="I24" s="27"/>
    </row>
    <row r="25" spans="2:9" x14ac:dyDescent="0.3">
      <c r="B25" s="35" t="s">
        <v>101</v>
      </c>
      <c r="I25" s="27"/>
    </row>
    <row r="26" spans="2:9" x14ac:dyDescent="0.3">
      <c r="B26" s="26" t="s">
        <v>102</v>
      </c>
      <c r="I26" s="27"/>
    </row>
    <row r="27" spans="2:9" x14ac:dyDescent="0.3">
      <c r="B27" s="26" t="s">
        <v>103</v>
      </c>
      <c r="I27" s="27"/>
    </row>
    <row r="28" spans="2:9" x14ac:dyDescent="0.3">
      <c r="B28" s="26" t="s">
        <v>104</v>
      </c>
      <c r="I28" s="27"/>
    </row>
    <row r="29" spans="2:9" ht="15" thickBot="1" x14ac:dyDescent="0.35">
      <c r="B29" s="36" t="s">
        <v>105</v>
      </c>
      <c r="C29" s="37"/>
      <c r="D29" s="37"/>
      <c r="E29" s="37"/>
      <c r="F29" s="37"/>
      <c r="G29" s="37"/>
      <c r="H29" s="37"/>
      <c r="I29" s="38"/>
    </row>
  </sheetData>
  <printOptions headings="1"/>
  <pageMargins left="0.3" right="0.3" top="0.5" bottom="0.6" header="0.3" footer="0.3"/>
  <pageSetup scale="98" orientation="landscape" r:id="rId1"/>
  <headerFooter>
    <oddFooter>&amp;L&amp;A&amp;CPage &amp;P of &amp;N&amp;R&amp;D - &amp;T</oddFooter>
  </headerFooter>
  <rowBreaks count="1" manualBreakCount="1">
    <brk id="17"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E0453-2F87-4EB4-B663-3BEC68BA92A0}">
  <sheetPr>
    <tabColor rgb="FFFFFF00"/>
  </sheetPr>
  <dimension ref="B2:F62"/>
  <sheetViews>
    <sheetView zoomScale="130" zoomScaleNormal="130" workbookViewId="0">
      <selection sqref="A1:XFD1048576"/>
    </sheetView>
  </sheetViews>
  <sheetFormatPr defaultRowHeight="14.4" x14ac:dyDescent="0.3"/>
  <cols>
    <col min="1" max="1" width="4" customWidth="1"/>
    <col min="2" max="2" width="15.5546875" customWidth="1"/>
    <col min="3" max="3" width="13.33203125" customWidth="1"/>
    <col min="4" max="4" width="12.44140625" customWidth="1"/>
    <col min="5" max="5" width="13.5546875" customWidth="1"/>
    <col min="6" max="6" width="11.21875" customWidth="1"/>
    <col min="7" max="7" width="11.33203125" customWidth="1"/>
    <col min="9" max="9" width="11.6640625" customWidth="1"/>
    <col min="10" max="10" width="13.109375" bestFit="1" customWidth="1"/>
    <col min="12" max="12" width="16.33203125" customWidth="1"/>
  </cols>
  <sheetData>
    <row r="2" spans="2:4" x14ac:dyDescent="0.3">
      <c r="B2" s="7" t="s">
        <v>328</v>
      </c>
    </row>
    <row r="3" spans="2:4" x14ac:dyDescent="0.3">
      <c r="B3" t="s">
        <v>347</v>
      </c>
    </row>
    <row r="5" spans="2:4" x14ac:dyDescent="0.3">
      <c r="B5" t="s">
        <v>2</v>
      </c>
      <c r="C5" t="s">
        <v>345</v>
      </c>
    </row>
    <row r="6" spans="2:4" x14ac:dyDescent="0.3">
      <c r="B6" t="s">
        <v>331</v>
      </c>
      <c r="C6" t="str">
        <f>"&gt;="&amp;C9</f>
        <v>&gt;=50000</v>
      </c>
    </row>
    <row r="8" spans="2:4" x14ac:dyDescent="0.3">
      <c r="B8" s="46" t="s">
        <v>329</v>
      </c>
      <c r="C8" s="126">
        <v>65000</v>
      </c>
    </row>
    <row r="9" spans="2:4" x14ac:dyDescent="0.3">
      <c r="B9" s="46" t="s">
        <v>330</v>
      </c>
      <c r="C9" s="126">
        <v>50000</v>
      </c>
    </row>
    <row r="10" spans="2:4" x14ac:dyDescent="0.3">
      <c r="B10" s="46" t="str">
        <f>FIXED(C8,0)&amp;"&gt;"&amp;FIXED(C9,0)&amp;"?"</f>
        <v>65,000&gt;50,000?</v>
      </c>
      <c r="C10" s="21" t="b">
        <f>C8&gt;=C9</f>
        <v>1</v>
      </c>
      <c r="D10" s="9" t="str" cm="1">
        <f t="array" aca="1" ref="D10" ca="1">ShowFormulas(C10)</f>
        <v>C10: =C8&gt;=C9</v>
      </c>
    </row>
    <row r="12" spans="2:4" x14ac:dyDescent="0.3">
      <c r="B12" s="7" t="s">
        <v>336</v>
      </c>
    </row>
    <row r="13" spans="2:4" x14ac:dyDescent="0.3">
      <c r="B13" t="s">
        <v>333</v>
      </c>
    </row>
    <row r="15" spans="2:4" x14ac:dyDescent="0.3">
      <c r="B15" t="s">
        <v>2</v>
      </c>
      <c r="C15" t="s">
        <v>335</v>
      </c>
    </row>
    <row r="16" spans="2:4" x14ac:dyDescent="0.3">
      <c r="B16" t="s">
        <v>331</v>
      </c>
      <c r="C16" t="s">
        <v>346</v>
      </c>
    </row>
    <row r="18" spans="2:4" x14ac:dyDescent="0.3">
      <c r="B18" s="46" t="s">
        <v>149</v>
      </c>
      <c r="C18" s="46" t="s">
        <v>42</v>
      </c>
    </row>
    <row r="19" spans="2:4" x14ac:dyDescent="0.3">
      <c r="B19" s="20">
        <v>250</v>
      </c>
      <c r="C19" s="21" t="b" cm="1">
        <f t="array" ref="C19:C21">ISNUMBER(B19:B21)</f>
        <v>1</v>
      </c>
    </row>
    <row r="20" spans="2:4" x14ac:dyDescent="0.3">
      <c r="B20" s="127" t="s">
        <v>334</v>
      </c>
      <c r="C20" s="21" t="b">
        <v>0</v>
      </c>
    </row>
    <row r="21" spans="2:4" x14ac:dyDescent="0.3">
      <c r="B21" s="20">
        <v>100</v>
      </c>
      <c r="C21" s="21" t="b">
        <v>1</v>
      </c>
      <c r="D21" s="9" t="str" cm="1">
        <f t="array" aca="1" ref="D21" ca="1">ShowFormulas(C19)</f>
        <v>C19: =ISNUMBER(B19:B21)</v>
      </c>
    </row>
    <row r="22" spans="2:4" x14ac:dyDescent="0.3">
      <c r="B22" s="21">
        <f>SUM(B19:B21)</f>
        <v>350</v>
      </c>
    </row>
    <row r="24" spans="2:4" x14ac:dyDescent="0.3">
      <c r="B24" s="7" t="s">
        <v>332</v>
      </c>
    </row>
    <row r="25" spans="2:4" x14ac:dyDescent="0.3">
      <c r="B25" t="s">
        <v>348</v>
      </c>
    </row>
    <row r="26" spans="2:4" x14ac:dyDescent="0.3">
      <c r="B26" t="s">
        <v>349</v>
      </c>
    </row>
    <row r="28" spans="2:4" x14ac:dyDescent="0.3">
      <c r="B28" t="s">
        <v>2</v>
      </c>
      <c r="C28" t="str">
        <f>"Are Sales Last Year &gt;="&amp;D32&amp;" AND Credit Rating &gt; "&amp;D33&amp;"?"</f>
        <v>Are Sales Last Year &gt;=1000000 AND Credit Rating &gt; 4?</v>
      </c>
    </row>
    <row r="29" spans="2:4" x14ac:dyDescent="0.3">
      <c r="B29" t="s">
        <v>350</v>
      </c>
      <c r="C29" t="s">
        <v>363</v>
      </c>
      <c r="D29" t="str">
        <f>"&gt;="&amp;D32</f>
        <v>&gt;=1000000</v>
      </c>
    </row>
    <row r="30" spans="2:4" x14ac:dyDescent="0.3">
      <c r="C30" t="s">
        <v>364</v>
      </c>
      <c r="D30" t="str">
        <f>"&gt;"&amp;D33</f>
        <v>&gt;4</v>
      </c>
    </row>
    <row r="32" spans="2:4" x14ac:dyDescent="0.3">
      <c r="C32" s="46" t="s">
        <v>337</v>
      </c>
      <c r="D32" s="20">
        <v>1000000</v>
      </c>
    </row>
    <row r="33" spans="2:6" x14ac:dyDescent="0.3">
      <c r="C33" s="46" t="s">
        <v>343</v>
      </c>
      <c r="D33" s="20">
        <v>4</v>
      </c>
    </row>
    <row r="35" spans="2:6" x14ac:dyDescent="0.3">
      <c r="B35" s="46" t="s">
        <v>338</v>
      </c>
      <c r="C35" s="46" t="s">
        <v>337</v>
      </c>
      <c r="D35" s="46" t="s">
        <v>339</v>
      </c>
      <c r="E35" s="46" t="s">
        <v>344</v>
      </c>
    </row>
    <row r="36" spans="2:6" x14ac:dyDescent="0.3">
      <c r="B36" s="20" t="s">
        <v>341</v>
      </c>
      <c r="C36" s="20">
        <v>2000000</v>
      </c>
      <c r="D36" s="20">
        <v>3.5</v>
      </c>
      <c r="E36" s="21" t="b">
        <f>AND(C36&gt;=$D$32,D36&gt;$D$33)</f>
        <v>0</v>
      </c>
      <c r="F36" s="9" t="str" cm="1">
        <f t="array" aca="1" ref="F36" ca="1">ShowFormulas(E36)</f>
        <v>E36: =AND(C36&gt;=$D$32,D36&gt;$D$33)</v>
      </c>
    </row>
    <row r="37" spans="2:6" x14ac:dyDescent="0.3">
      <c r="B37" s="20" t="s">
        <v>342</v>
      </c>
      <c r="C37" s="20">
        <v>1500000</v>
      </c>
      <c r="D37" s="20">
        <v>5.5</v>
      </c>
      <c r="E37" s="21" t="b">
        <f>AND(C37&gt;=$D$32,D37&gt;$D$33)</f>
        <v>1</v>
      </c>
    </row>
    <row r="39" spans="2:6" x14ac:dyDescent="0.3">
      <c r="B39" s="7" t="s">
        <v>351</v>
      </c>
    </row>
    <row r="40" spans="2:6" x14ac:dyDescent="0.3">
      <c r="B40" t="s">
        <v>352</v>
      </c>
    </row>
    <row r="42" spans="2:6" x14ac:dyDescent="0.3">
      <c r="B42" s="46" t="s">
        <v>354</v>
      </c>
      <c r="C42" s="20" t="s">
        <v>152</v>
      </c>
    </row>
    <row r="44" spans="2:6" x14ac:dyDescent="0.3">
      <c r="B44" t="s">
        <v>2</v>
      </c>
      <c r="C44" t="s">
        <v>353</v>
      </c>
    </row>
    <row r="45" spans="2:6" x14ac:dyDescent="0.3">
      <c r="B45" t="s">
        <v>331</v>
      </c>
      <c r="C45" t="str">
        <f>"=Quad"</f>
        <v>=Quad</v>
      </c>
    </row>
    <row r="47" spans="2:6" x14ac:dyDescent="0.3">
      <c r="B47" s="46" t="s">
        <v>146</v>
      </c>
      <c r="C47" s="46" t="s">
        <v>356</v>
      </c>
    </row>
    <row r="48" spans="2:6" x14ac:dyDescent="0.3">
      <c r="B48" s="20" t="s">
        <v>355</v>
      </c>
      <c r="C48" s="21" t="b" cm="1">
        <f t="array" ref="C48:C50">B48:B50=C42</f>
        <v>1</v>
      </c>
      <c r="D48" s="9" t="str" cm="1">
        <f t="array" aca="1" ref="D48" ca="1">ShowFormulas(C48)</f>
        <v>C48: =B48:B50=C42</v>
      </c>
    </row>
    <row r="49" spans="2:6" x14ac:dyDescent="0.3">
      <c r="B49" s="20" t="s">
        <v>155</v>
      </c>
      <c r="C49" s="21" t="b">
        <v>0</v>
      </c>
    </row>
    <row r="50" spans="2:6" x14ac:dyDescent="0.3">
      <c r="B50" s="20" t="s">
        <v>152</v>
      </c>
      <c r="C50" s="21" t="b">
        <v>1</v>
      </c>
    </row>
    <row r="52" spans="2:6" x14ac:dyDescent="0.3">
      <c r="B52" s="7" t="s">
        <v>357</v>
      </c>
    </row>
    <row r="53" spans="2:6" x14ac:dyDescent="0.3">
      <c r="B53" t="s">
        <v>361</v>
      </c>
    </row>
    <row r="55" spans="2:6" x14ac:dyDescent="0.3">
      <c r="B55" t="s">
        <v>2</v>
      </c>
      <c r="C55" t="s">
        <v>362</v>
      </c>
    </row>
    <row r="56" spans="2:6" x14ac:dyDescent="0.3">
      <c r="B56" t="s">
        <v>363</v>
      </c>
      <c r="C56" t="s">
        <v>365</v>
      </c>
    </row>
    <row r="57" spans="2:6" x14ac:dyDescent="0.3">
      <c r="C57" t="s">
        <v>366</v>
      </c>
    </row>
    <row r="59" spans="2:6" x14ac:dyDescent="0.3">
      <c r="B59" s="46" t="s">
        <v>358</v>
      </c>
      <c r="C59" s="46" t="s">
        <v>359</v>
      </c>
      <c r="D59" s="46" t="s">
        <v>360</v>
      </c>
      <c r="E59" s="46" t="s">
        <v>360</v>
      </c>
      <c r="F59" s="46" t="s">
        <v>360</v>
      </c>
    </row>
    <row r="60" spans="2:6" x14ac:dyDescent="0.3">
      <c r="B60" s="20">
        <v>2</v>
      </c>
      <c r="C60" s="20">
        <v>0</v>
      </c>
      <c r="D60" s="21" t="b">
        <f>AND(B60&lt;&gt;0,C60&lt;&gt;0)</f>
        <v>0</v>
      </c>
      <c r="E60" s="21" t="b">
        <f>AND(B60,C60)</f>
        <v>0</v>
      </c>
      <c r="F60" s="21" t="b">
        <f>AND(B60:C60)</f>
        <v>0</v>
      </c>
    </row>
    <row r="61" spans="2:6" x14ac:dyDescent="0.3">
      <c r="B61" s="20">
        <v>0</v>
      </c>
      <c r="C61" s="20">
        <v>0</v>
      </c>
      <c r="D61" s="21" t="b">
        <f t="shared" ref="D61:D62" si="0">AND(B61&lt;&gt;0,C61&lt;&gt;0)</f>
        <v>0</v>
      </c>
      <c r="E61" s="21" t="b">
        <f t="shared" ref="E61:E62" si="1">AND(B61,C61)</f>
        <v>0</v>
      </c>
      <c r="F61" s="21" t="b">
        <f t="shared" ref="F61:F62" si="2">AND(B61:C61)</f>
        <v>0</v>
      </c>
    </row>
    <row r="62" spans="2:6" x14ac:dyDescent="0.3">
      <c r="B62" s="20">
        <v>-1</v>
      </c>
      <c r="C62" s="20">
        <v>43</v>
      </c>
      <c r="D62" s="21" t="b">
        <f t="shared" si="0"/>
        <v>1</v>
      </c>
      <c r="E62" s="21" t="b">
        <f t="shared" si="1"/>
        <v>1</v>
      </c>
      <c r="F62" s="21" t="b">
        <f t="shared" si="2"/>
        <v>1</v>
      </c>
    </row>
  </sheetData>
  <phoneticPr fontId="2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42</vt:i4>
      </vt:variant>
      <vt:variant>
        <vt:lpstr>Named Ranges</vt:lpstr>
      </vt:variant>
      <vt:variant>
        <vt:i4>1</vt:i4>
      </vt:variant>
    </vt:vector>
  </HeadingPairs>
  <TitlesOfParts>
    <vt:vector size="43" baseType="lpstr">
      <vt:lpstr>EB05(C)</vt:lpstr>
      <vt:lpstr>Topics</vt:lpstr>
      <vt:lpstr>IF</vt:lpstr>
      <vt:lpstr>CO</vt:lpstr>
      <vt:lpstr>IS</vt:lpstr>
      <vt:lpstr>A O N</vt:lpstr>
      <vt:lpstr>IFNA IFERROR</vt:lpstr>
      <vt:lpstr>Vid2 AND OR</vt:lpstr>
      <vt:lpstr>LT</vt:lpstr>
      <vt:lpstr>LT(1-5)</vt:lpstr>
      <vt:lpstr>LT(1-5an)</vt:lpstr>
      <vt:lpstr>IF(6-8)</vt:lpstr>
      <vt:lpstr>IF(6-8an)</vt:lpstr>
      <vt:lpstr>IF(9)</vt:lpstr>
      <vt:lpstr>IF(9an)</vt:lpstr>
      <vt:lpstr>IF(10)</vt:lpstr>
      <vt:lpstr>IF(10an)</vt:lpstr>
      <vt:lpstr>IF(11)</vt:lpstr>
      <vt:lpstr>IF(11an)</vt:lpstr>
      <vt:lpstr>IFS(12)</vt:lpstr>
      <vt:lpstr>IFS(12an)</vt:lpstr>
      <vt:lpstr>IFNA and FT(13)</vt:lpstr>
      <vt:lpstr>IFNA and FT(13an)</vt:lpstr>
      <vt:lpstr>IFERROR and Number(14)</vt:lpstr>
      <vt:lpstr>IF and Aggregate(15)</vt:lpstr>
      <vt:lpstr>OR 2 Columns(16)</vt:lpstr>
      <vt:lpstr>SWITCH</vt:lpstr>
      <vt:lpstr>LookupTables</vt:lpstr>
      <vt:lpstr>IFERROR and Number(14an)</vt:lpstr>
      <vt:lpstr>HW==&gt;&gt;</vt:lpstr>
      <vt:lpstr>HW(1-3)</vt:lpstr>
      <vt:lpstr>HW(1-3) (an)</vt:lpstr>
      <vt:lpstr>HW(4)</vt:lpstr>
      <vt:lpstr>HW(4an)</vt:lpstr>
      <vt:lpstr>HW(5)</vt:lpstr>
      <vt:lpstr>HW(5an)</vt:lpstr>
      <vt:lpstr>HW(6)</vt:lpstr>
      <vt:lpstr>HW(6an)</vt:lpstr>
      <vt:lpstr>HW(7)</vt:lpstr>
      <vt:lpstr>HW(7an)</vt:lpstr>
      <vt:lpstr>HW(8)</vt:lpstr>
      <vt:lpstr>HW(8an)</vt:lpstr>
      <vt:lpstr>'Vid2 AND 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Girvin, Michael</dc:creator>
  <cp:lastModifiedBy>Girvin, Michael</cp:lastModifiedBy>
  <dcterms:created xsi:type="dcterms:W3CDTF">2015-06-05T18:17:20Z</dcterms:created>
  <dcterms:modified xsi:type="dcterms:W3CDTF">2024-12-11T23:46:08Z</dcterms:modified>
</cp:coreProperties>
</file>